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13_ncr:1_{511D27CA-D844-4937-B50E-F057B7BA29DD}" xr6:coauthVersionLast="47" xr6:coauthVersionMax="47" xr10:uidLastSave="{00000000-0000-0000-0000-000000000000}"/>
  <bookViews>
    <workbookView xWindow="-120" yWindow="-120" windowWidth="29040" windowHeight="17025" xr2:uid="{00000000-000D-0000-FFFF-FFFF00000000}"/>
  </bookViews>
  <sheets>
    <sheet name="Kosten- &amp; Umweltbilanz" sheetId="1" r:id="rId1"/>
    <sheet name="Umweltkennwerte" sheetId="3" r:id="rId2"/>
    <sheet name="Grafik" sheetId="2" state="hidden" r:id="rId3"/>
  </sheets>
  <definedNames>
    <definedName name="_xlnm.Print_Area" localSheetId="0">'Kosten- &amp; Umweltbilanz'!$A$1:$N$153</definedName>
    <definedName name="Fernwärme">Grafik!$D$18:$D$20</definedName>
    <definedName name="Pellet">Grafik!$C$18:$C$19</definedName>
    <definedName name="Strommix">Grafik!$B$18:$B$19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5" i="1" l="1"/>
  <c r="F85" i="1"/>
  <c r="G85" i="1"/>
  <c r="H85" i="1"/>
  <c r="I85" i="1"/>
  <c r="J85" i="1"/>
  <c r="K85" i="1"/>
  <c r="L85" i="1"/>
  <c r="D85" i="1"/>
  <c r="E119" i="1"/>
  <c r="F119" i="1"/>
  <c r="G119" i="1"/>
  <c r="H119" i="1"/>
  <c r="I119" i="1"/>
  <c r="J119" i="1"/>
  <c r="K119" i="1"/>
  <c r="L119" i="1"/>
  <c r="D119" i="1"/>
  <c r="E109" i="1"/>
  <c r="F109" i="1"/>
  <c r="G109" i="1"/>
  <c r="H109" i="1"/>
  <c r="I109" i="1"/>
  <c r="J109" i="1"/>
  <c r="K109" i="1"/>
  <c r="L109" i="1"/>
  <c r="D109" i="1"/>
  <c r="E101" i="1"/>
  <c r="F101" i="1"/>
  <c r="G101" i="1"/>
  <c r="H101" i="1"/>
  <c r="I101" i="1"/>
  <c r="J101" i="1"/>
  <c r="K101" i="1"/>
  <c r="L101" i="1"/>
  <c r="D101" i="1"/>
  <c r="E60" i="1"/>
  <c r="F60" i="1"/>
  <c r="G60" i="1"/>
  <c r="H60" i="1"/>
  <c r="I60" i="1"/>
  <c r="J60" i="1"/>
  <c r="K60" i="1"/>
  <c r="L60" i="1"/>
  <c r="D60" i="1"/>
  <c r="N75" i="1"/>
  <c r="N39" i="1"/>
  <c r="K43" i="1"/>
  <c r="L43" i="1"/>
  <c r="J43" i="1"/>
  <c r="F43" i="1"/>
  <c r="G43" i="1"/>
  <c r="H43" i="1"/>
  <c r="I43" i="1"/>
  <c r="E43" i="1"/>
  <c r="D43" i="1"/>
  <c r="E52" i="1"/>
  <c r="F52" i="1"/>
  <c r="G52" i="1"/>
  <c r="H52" i="1"/>
  <c r="I52" i="1"/>
  <c r="J52" i="1"/>
  <c r="K52" i="1"/>
  <c r="L52" i="1"/>
  <c r="D52" i="1"/>
  <c r="L29" i="1"/>
  <c r="E20" i="1"/>
  <c r="G46" i="1" s="1"/>
  <c r="F92" i="1"/>
  <c r="J6" i="2"/>
  <c r="G6" i="2"/>
  <c r="F6" i="2"/>
  <c r="E6" i="2"/>
  <c r="D6" i="2"/>
  <c r="K31" i="3"/>
  <c r="H31" i="3"/>
  <c r="K30" i="3"/>
  <c r="H30" i="3"/>
  <c r="K29" i="3"/>
  <c r="H29" i="3"/>
  <c r="K25" i="3"/>
  <c r="H25" i="3"/>
  <c r="K24" i="3"/>
  <c r="H24" i="3"/>
  <c r="K23" i="3"/>
  <c r="H23" i="3"/>
  <c r="L107" i="1"/>
  <c r="L112" i="1" s="1"/>
  <c r="J5" i="2" s="1"/>
  <c r="K107" i="1"/>
  <c r="K112" i="1"/>
  <c r="I5" i="2" s="1"/>
  <c r="G107" i="1"/>
  <c r="G112" i="1" s="1"/>
  <c r="F107" i="1"/>
  <c r="F112" i="1"/>
  <c r="F28" i="1" s="1"/>
  <c r="E107" i="1"/>
  <c r="E112" i="1" s="1"/>
  <c r="L97" i="1"/>
  <c r="G95" i="1"/>
  <c r="F95" i="1"/>
  <c r="L92" i="1"/>
  <c r="G92" i="1"/>
  <c r="K90" i="1"/>
  <c r="E90" i="1"/>
  <c r="L86" i="1"/>
  <c r="K86" i="1"/>
  <c r="J86" i="1"/>
  <c r="I86" i="1"/>
  <c r="H86" i="1"/>
  <c r="G86" i="1"/>
  <c r="F86" i="1"/>
  <c r="E86" i="1"/>
  <c r="D86" i="1"/>
  <c r="L80" i="1"/>
  <c r="K80" i="1"/>
  <c r="K81" i="1" s="1"/>
  <c r="K82" i="1" s="1"/>
  <c r="K83" i="1" s="1"/>
  <c r="J80" i="1"/>
  <c r="J81" i="1" s="1"/>
  <c r="J82" i="1" s="1"/>
  <c r="J83" i="1" s="1"/>
  <c r="I80" i="1"/>
  <c r="H80" i="1"/>
  <c r="H81" i="1"/>
  <c r="H82" i="1" s="1"/>
  <c r="H83" i="1" s="1"/>
  <c r="G80" i="1"/>
  <c r="F80" i="1"/>
  <c r="E80" i="1"/>
  <c r="E81" i="1" s="1"/>
  <c r="E82" i="1" s="1"/>
  <c r="E83" i="1" s="1"/>
  <c r="D80" i="1"/>
  <c r="D81" i="1"/>
  <c r="D82" i="1" s="1"/>
  <c r="D83" i="1" s="1"/>
  <c r="C33" i="1"/>
  <c r="A33" i="1"/>
  <c r="A31" i="1"/>
  <c r="A30" i="1"/>
  <c r="I29" i="1"/>
  <c r="H29" i="1"/>
  <c r="G29" i="1"/>
  <c r="F29" i="1"/>
  <c r="A29" i="1"/>
  <c r="A28" i="1"/>
  <c r="A27" i="1"/>
  <c r="A26" i="1"/>
  <c r="C25" i="1"/>
  <c r="L81" i="1"/>
  <c r="L82" i="1" s="1"/>
  <c r="L83" i="1" s="1"/>
  <c r="L110" i="1" s="1"/>
  <c r="K28" i="1"/>
  <c r="I81" i="1"/>
  <c r="I82" i="1" s="1"/>
  <c r="F81" i="1"/>
  <c r="F82" i="1" s="1"/>
  <c r="F83" i="1" s="1"/>
  <c r="G81" i="1"/>
  <c r="G82" i="1" s="1"/>
  <c r="G83" i="1" s="1"/>
  <c r="D56" i="1" l="1"/>
  <c r="D92" i="1" s="1"/>
  <c r="H53" i="1"/>
  <c r="H96" i="1" s="1"/>
  <c r="H106" i="1" s="1"/>
  <c r="H107" i="1" s="1"/>
  <c r="H112" i="1" s="1"/>
  <c r="F5" i="2" s="1"/>
  <c r="E45" i="1"/>
  <c r="J46" i="1"/>
  <c r="K56" i="1"/>
  <c r="K92" i="1" s="1"/>
  <c r="K20" i="1"/>
  <c r="K21" i="1" s="1"/>
  <c r="F53" i="1"/>
  <c r="F94" i="1" s="1"/>
  <c r="G53" i="1"/>
  <c r="G94" i="1" s="1"/>
  <c r="D53" i="1"/>
  <c r="D87" i="1" s="1"/>
  <c r="D123" i="1" s="1"/>
  <c r="B7" i="2" s="1"/>
  <c r="H56" i="1"/>
  <c r="H92" i="1" s="1"/>
  <c r="H99" i="1" s="1"/>
  <c r="H111" i="1" s="1"/>
  <c r="H113" i="1" s="1"/>
  <c r="H116" i="1" s="1"/>
  <c r="J56" i="1"/>
  <c r="J92" i="1" s="1"/>
  <c r="E46" i="1"/>
  <c r="H46" i="1"/>
  <c r="L53" i="1"/>
  <c r="L98" i="1" s="1"/>
  <c r="L99" i="1" s="1"/>
  <c r="L111" i="1" s="1"/>
  <c r="J4" i="2" s="1"/>
  <c r="K45" i="1"/>
  <c r="E56" i="1"/>
  <c r="E92" i="1" s="1"/>
  <c r="K46" i="1"/>
  <c r="J53" i="1"/>
  <c r="J89" i="1" s="1"/>
  <c r="J106" i="1" s="1"/>
  <c r="J107" i="1" s="1"/>
  <c r="J112" i="1" s="1"/>
  <c r="H5" i="2" s="1"/>
  <c r="I53" i="1"/>
  <c r="I96" i="1" s="1"/>
  <c r="J45" i="1"/>
  <c r="E53" i="1"/>
  <c r="E91" i="1" s="1"/>
  <c r="D46" i="1"/>
  <c r="I56" i="1"/>
  <c r="I92" i="1" s="1"/>
  <c r="D45" i="1"/>
  <c r="K53" i="1"/>
  <c r="K91" i="1" s="1"/>
  <c r="K99" i="1" s="1"/>
  <c r="K111" i="1" s="1"/>
  <c r="K27" i="1" s="1"/>
  <c r="I45" i="1"/>
  <c r="D110" i="1"/>
  <c r="D26" i="1" s="1"/>
  <c r="B3" i="2"/>
  <c r="H110" i="1"/>
  <c r="H26" i="1" s="1"/>
  <c r="F3" i="2"/>
  <c r="I83" i="1"/>
  <c r="I110" i="1" s="1"/>
  <c r="J110" i="1"/>
  <c r="J26" i="1" s="1"/>
  <c r="H3" i="2"/>
  <c r="L28" i="1"/>
  <c r="H45" i="1"/>
  <c r="L45" i="1"/>
  <c r="F45" i="1"/>
  <c r="F46" i="1"/>
  <c r="L46" i="1"/>
  <c r="G45" i="1"/>
  <c r="I46" i="1"/>
  <c r="D5" i="2"/>
  <c r="F87" i="1"/>
  <c r="F123" i="1" s="1"/>
  <c r="F30" i="1" s="1"/>
  <c r="H87" i="1"/>
  <c r="H123" i="1" s="1"/>
  <c r="F7" i="2" s="1"/>
  <c r="F110" i="1"/>
  <c r="D3" i="2"/>
  <c r="C5" i="2"/>
  <c r="E28" i="1"/>
  <c r="E87" i="1"/>
  <c r="E123" i="1" s="1"/>
  <c r="E30" i="1" s="1"/>
  <c r="J44" i="1"/>
  <c r="J121" i="1" s="1"/>
  <c r="F93" i="1"/>
  <c r="G3" i="2"/>
  <c r="G110" i="1"/>
  <c r="E3" i="2"/>
  <c r="I3" i="2"/>
  <c r="K110" i="1"/>
  <c r="E5" i="2"/>
  <c r="G28" i="1"/>
  <c r="D30" i="1"/>
  <c r="J3" i="2"/>
  <c r="F26" i="1"/>
  <c r="E110" i="1"/>
  <c r="C3" i="2"/>
  <c r="L26" i="1"/>
  <c r="H28" i="1" l="1"/>
  <c r="F99" i="1"/>
  <c r="F111" i="1" s="1"/>
  <c r="K87" i="1"/>
  <c r="K123" i="1" s="1"/>
  <c r="I7" i="2" s="1"/>
  <c r="E99" i="1"/>
  <c r="E111" i="1" s="1"/>
  <c r="E113" i="1" s="1"/>
  <c r="G93" i="1"/>
  <c r="G99" i="1" s="1"/>
  <c r="G111" i="1" s="1"/>
  <c r="G27" i="1" s="1"/>
  <c r="I87" i="1"/>
  <c r="I123" i="1" s="1"/>
  <c r="I30" i="1" s="1"/>
  <c r="G87" i="1"/>
  <c r="G123" i="1" s="1"/>
  <c r="G30" i="1" s="1"/>
  <c r="J99" i="1"/>
  <c r="J111" i="1" s="1"/>
  <c r="J27" i="1" s="1"/>
  <c r="D89" i="1"/>
  <c r="D106" i="1" s="1"/>
  <c r="D107" i="1" s="1"/>
  <c r="D112" i="1" s="1"/>
  <c r="D28" i="1" s="1"/>
  <c r="D44" i="1"/>
  <c r="D121" i="1" s="1"/>
  <c r="B6" i="2" s="1"/>
  <c r="L87" i="1"/>
  <c r="L123" i="1" s="1"/>
  <c r="L30" i="1" s="1"/>
  <c r="J87" i="1"/>
  <c r="J123" i="1" s="1"/>
  <c r="J30" i="1" s="1"/>
  <c r="E44" i="1"/>
  <c r="E121" i="1" s="1"/>
  <c r="C6" i="2" s="1"/>
  <c r="K44" i="1"/>
  <c r="K121" i="1" s="1"/>
  <c r="K29" i="1" s="1"/>
  <c r="H27" i="1"/>
  <c r="C7" i="2"/>
  <c r="H30" i="1"/>
  <c r="F4" i="2"/>
  <c r="D7" i="2"/>
  <c r="H120" i="1"/>
  <c r="H125" i="1" s="1"/>
  <c r="H127" i="1" s="1"/>
  <c r="H33" i="1" s="1"/>
  <c r="L113" i="1"/>
  <c r="L120" i="1" s="1"/>
  <c r="D29" i="1"/>
  <c r="J28" i="1"/>
  <c r="L27" i="1"/>
  <c r="I4" i="2"/>
  <c r="H6" i="2"/>
  <c r="J29" i="1"/>
  <c r="D4" i="2"/>
  <c r="F27" i="1"/>
  <c r="F113" i="1"/>
  <c r="F116" i="1" s="1"/>
  <c r="K26" i="1"/>
  <c r="K113" i="1"/>
  <c r="K30" i="1"/>
  <c r="I26" i="1"/>
  <c r="E26" i="1"/>
  <c r="G26" i="1"/>
  <c r="I106" i="1"/>
  <c r="I107" i="1" s="1"/>
  <c r="I112" i="1" s="1"/>
  <c r="I99" i="1"/>
  <c r="I111" i="1" s="1"/>
  <c r="G7" i="2" l="1"/>
  <c r="I6" i="2"/>
  <c r="C4" i="2"/>
  <c r="J7" i="2"/>
  <c r="E7" i="2"/>
  <c r="E27" i="1"/>
  <c r="G113" i="1"/>
  <c r="G116" i="1" s="1"/>
  <c r="E4" i="2"/>
  <c r="L125" i="1"/>
  <c r="L31" i="1" s="1"/>
  <c r="E29" i="1"/>
  <c r="D99" i="1"/>
  <c r="D111" i="1" s="1"/>
  <c r="B4" i="2" s="1"/>
  <c r="B5" i="2"/>
  <c r="J113" i="1"/>
  <c r="J120" i="1" s="1"/>
  <c r="J125" i="1" s="1"/>
  <c r="H4" i="2"/>
  <c r="H7" i="2"/>
  <c r="H31" i="1"/>
  <c r="L116" i="1"/>
  <c r="F120" i="1"/>
  <c r="F125" i="1" s="1"/>
  <c r="F31" i="1" s="1"/>
  <c r="D113" i="1"/>
  <c r="K114" i="1" s="1"/>
  <c r="I27" i="1"/>
  <c r="G4" i="2"/>
  <c r="I113" i="1"/>
  <c r="E116" i="1"/>
  <c r="E120" i="1"/>
  <c r="E125" i="1" s="1"/>
  <c r="I28" i="1"/>
  <c r="G5" i="2"/>
  <c r="K120" i="1"/>
  <c r="K125" i="1" s="1"/>
  <c r="K116" i="1"/>
  <c r="L127" i="1" l="1"/>
  <c r="L33" i="1" s="1"/>
  <c r="G120" i="1"/>
  <c r="G125" i="1" s="1"/>
  <c r="G127" i="1" s="1"/>
  <c r="G33" i="1" s="1"/>
  <c r="D27" i="1"/>
  <c r="J127" i="1"/>
  <c r="J33" i="1" s="1"/>
  <c r="J31" i="1"/>
  <c r="J116" i="1"/>
  <c r="F127" i="1"/>
  <c r="F33" i="1" s="1"/>
  <c r="G114" i="1"/>
  <c r="F114" i="1"/>
  <c r="D120" i="1"/>
  <c r="D125" i="1" s="1"/>
  <c r="J114" i="1"/>
  <c r="D116" i="1"/>
  <c r="H114" i="1"/>
  <c r="L114" i="1"/>
  <c r="E114" i="1"/>
  <c r="I120" i="1"/>
  <c r="I125" i="1" s="1"/>
  <c r="I116" i="1"/>
  <c r="I114" i="1"/>
  <c r="G31" i="1"/>
  <c r="K127" i="1"/>
  <c r="K33" i="1" s="1"/>
  <c r="K31" i="1"/>
  <c r="E31" i="1"/>
  <c r="E127" i="1"/>
  <c r="E33" i="1" s="1"/>
  <c r="D127" i="1" l="1"/>
  <c r="D33" i="1" s="1"/>
  <c r="D31" i="1"/>
  <c r="I31" i="1"/>
  <c r="I127" i="1"/>
  <c r="I33" i="1" s="1"/>
</calcChain>
</file>

<file path=xl/sharedStrings.xml><?xml version="1.0" encoding="utf-8"?>
<sst xmlns="http://schemas.openxmlformats.org/spreadsheetml/2006/main" count="333" uniqueCount="238">
  <si>
    <t>Vergleich der Jahreskosten und Umweltauswirkungen von Heizungssystemen</t>
  </si>
  <si>
    <t>Zusatzinfo / Bemerkungen</t>
  </si>
  <si>
    <t>Für kleine Anlagen um 10kW</t>
  </si>
  <si>
    <t xml:space="preserve">Alle Angaben ohne Gewähr </t>
  </si>
  <si>
    <t>Unabhängig davon, wie der Warmwasserbedarf bisher gedeckt wurde, werden die Heizkosten für die neuen Systeme inkl. Warmwasserverbrauch berechnet</t>
  </si>
  <si>
    <t>Für einen einfachen Kostenvergleich genügt die Eingabe der Gebäudedaten zu Energiebezugsfläche und bisherigem Energieverbrauch in Zelle D13 bzw. C18 bis L18</t>
  </si>
  <si>
    <t>Für genauere Vergleiche können in alle weiss hinterlegten Zellen eigene Daten eingeben und bei den orange hinterlegten eine Auswahl getroffen werden.</t>
  </si>
  <si>
    <t xml:space="preserve">Zusatzinformationen zu Begriffen, Zahlen und Quellen erhalten Sie in Spalte N und am Ende des Dokuments sowie im PDF "Heizkostenvergleich" (ab Seite 7) auf </t>
  </si>
  <si>
    <t>Drucken: Für optimale Ansicht: im Querformat (Landscape-Orientation) drucken!</t>
  </si>
  <si>
    <t>www.wwf.ch/heizen</t>
  </si>
  <si>
    <t>Gebäudedaten</t>
  </si>
  <si>
    <t>Energiebezugsfläche (EBF):</t>
  </si>
  <si>
    <t>m2</t>
  </si>
  <si>
    <t>Objekt:</t>
  </si>
  <si>
    <t xml:space="preserve">Energiebezugsfläche = Beheizter Wohnraum </t>
  </si>
  <si>
    <t>Jährlicher Energieverbrauch bisher</t>
  </si>
  <si>
    <t>Energieträger:</t>
  </si>
  <si>
    <t>Elektroboiler</t>
  </si>
  <si>
    <t>Ölkessel</t>
  </si>
  <si>
    <t>Gaskessel</t>
  </si>
  <si>
    <t>WP Sole</t>
  </si>
  <si>
    <t>WP Luft</t>
  </si>
  <si>
    <t>Pellet</t>
  </si>
  <si>
    <t>Pellet/Sonne</t>
  </si>
  <si>
    <t>Öl/Sonne</t>
  </si>
  <si>
    <t>Gas/Sonne</t>
  </si>
  <si>
    <t>Fernwärme</t>
  </si>
  <si>
    <t>WP = Wärmepumpenheizung, Sole = Wärmegewinnung mittels Erdsonde</t>
  </si>
  <si>
    <t>Einheit:</t>
  </si>
  <si>
    <t>[kWh]</t>
  </si>
  <si>
    <t>[l]</t>
  </si>
  <si>
    <t>[m3]</t>
  </si>
  <si>
    <t>[t]</t>
  </si>
  <si>
    <t>Falls Sie das Warmwasser bisher mit einem oder mehreren Elektroboiler/n erwärmen, geben Sie in Zelle C18 den dafür benötigten Stromverbrauch ein.</t>
  </si>
  <si>
    <t>Heizenergiebedarf (Qw), bisher:</t>
  </si>
  <si>
    <t>Total</t>
  </si>
  <si>
    <t>kWh/a</t>
  </si>
  <si>
    <t>Je Quadratmeter Energiebezugsfläche:</t>
  </si>
  <si>
    <t>kWh/(m2*a)</t>
  </si>
  <si>
    <t>bzw.</t>
  </si>
  <si>
    <t>MJ/(m2*a)</t>
  </si>
  <si>
    <r>
      <t xml:space="preserve">Vergleich der </t>
    </r>
    <r>
      <rPr>
        <b/>
        <i/>
        <sz val="12"/>
        <rFont val="Arial"/>
        <family val="2"/>
      </rPr>
      <t>Jahreskosten</t>
    </r>
    <r>
      <rPr>
        <b/>
        <sz val="12"/>
        <rFont val="Arial"/>
        <family val="2"/>
      </rPr>
      <t xml:space="preserve"> für verschiedene Heizsysteme</t>
    </r>
  </si>
  <si>
    <t>Alle Kostenangaben im gesamten Excel-Dokument ohne MWSt!</t>
  </si>
  <si>
    <t>Für eine genauer auf Sie zugeschnittene Kostenbetrachtung prüfen Sie bitte die Zahlen in den Zeilen 50 bis 130 (z. B. anhand vorliegender Offerten)</t>
  </si>
  <si>
    <t>Kosten der Fernwärme schwanken schweizweit sehr stark, für den Vergleich mit Fernwärme müssen daher zwingend in den Zellen B97, B98, L62 bis L78 und L102 bis L106 eigene Werte eingegeben werden.</t>
  </si>
  <si>
    <t>Fr./Jahr</t>
  </si>
  <si>
    <t>Vergleich der Umweltbelastungen verschiedener Heizsysteme</t>
  </si>
  <si>
    <t>Strommix</t>
  </si>
  <si>
    <t>Partikelfilter ja/nein</t>
  </si>
  <si>
    <t>Wärmequelle</t>
  </si>
  <si>
    <t>Bitte Auswahl treffen:</t>
  </si>
  <si>
    <t>Egalmix</t>
  </si>
  <si>
    <t>mit PF</t>
  </si>
  <si>
    <t>Schweiz</t>
  </si>
  <si>
    <t>1. Für Wärmepumpen kann die Art des verwendeten Strommix gewählt werden zwischen zertifiziertem Ökostrom (z.B. naturemade star) oder Egalmix. 
2. Für Pelletheizungen kann gewählt werden zwischen Varianten mit und ohne Partikelfilter. 
3. Beim Fernwärmebezug kann gewählt werden zwischen Abwärme aus Kehrichtverbrennungsanlagen (KVA), aus Holzfeuerungsanlagen (Holz), oder falls die Quelle nicht bekannt ist aus dem Schweizerischen Durchschnittsmix (Schweiz)</t>
  </si>
  <si>
    <t>Ausstoss fossiles CO2 ab Kamin</t>
  </si>
  <si>
    <t>[t/Jahr]</t>
  </si>
  <si>
    <t>Treibhausgasemissionen (CO2-eq)</t>
  </si>
  <si>
    <t>Gesamtumweltbelastung (UBP 2013)</t>
  </si>
  <si>
    <t>[Mio Pt/Jahr]</t>
  </si>
  <si>
    <t>Weitere Kennzahlen zu den verschiedenen Heizsystemen</t>
  </si>
  <si>
    <t>Energieverbrauch</t>
  </si>
  <si>
    <t>[kWh/a]</t>
  </si>
  <si>
    <t>Energieinhalt pro Einheit (Hi)</t>
  </si>
  <si>
    <t>[kWh/...]</t>
  </si>
  <si>
    <t>Nutzungsgrad Wärme bez. Hi</t>
  </si>
  <si>
    <t>[η/JAZ]</t>
  </si>
  <si>
    <t>JAZ (Jahresarbeitszahl bei WP-Systemen): das Verhältnis der über das Jahr abgegebenen Wärme zur aufgenommenen elektrischen Energie; η: Ausnutzungsgrad für Wärmegewinne bei den übrigen Systemen</t>
  </si>
  <si>
    <t>Elektroverbrauch Motoren,etc.</t>
  </si>
  <si>
    <t>Prozentualer Anteil Solarenergie</t>
  </si>
  <si>
    <t>[-]</t>
  </si>
  <si>
    <t>Raumbedarf Heizungsanlage</t>
  </si>
  <si>
    <t>Investitionen</t>
  </si>
  <si>
    <t>Werte zu den Kosten der Fernwärme schwanken schweizweit sehr stark, daher konnten hier keine Mittel- bzw. Orientierungswerte angegeben werden.</t>
  </si>
  <si>
    <t>Nutzung Jahre</t>
  </si>
  <si>
    <t>[Fr.]</t>
  </si>
  <si>
    <t>[Fr]</t>
  </si>
  <si>
    <t>Tank</t>
  </si>
  <si>
    <t>Anschluss (Gas, Fernwärme)</t>
  </si>
  <si>
    <t>Wärmeübergabestation</t>
  </si>
  <si>
    <t>Wird nur für Fernwärme benötigt</t>
  </si>
  <si>
    <t>Kessel, Wärmepumpe</t>
  </si>
  <si>
    <t>Kaminanlage</t>
  </si>
  <si>
    <t>Expansion</t>
  </si>
  <si>
    <t>Speicher mit Warmwasser</t>
  </si>
  <si>
    <t>Erdsonde/Quelle</t>
  </si>
  <si>
    <t>Heizverteilung</t>
  </si>
  <si>
    <t>Dämmungen</t>
  </si>
  <si>
    <t>Montage, Honorare, div.</t>
  </si>
  <si>
    <t>Sanitär</t>
  </si>
  <si>
    <t>Elektro</t>
  </si>
  <si>
    <t>Maurer, Umgebung, Gärtner</t>
  </si>
  <si>
    <t>Rückbau/Entsorgung</t>
  </si>
  <si>
    <t>Rückbau/Entsorgung der bestehenden Heizungsanlage, um sie durch eine gleichartige zu ersetzen</t>
  </si>
  <si>
    <t>Sonnenkollektoranlage</t>
  </si>
  <si>
    <t>Die Variante Pellet/Sonne wurde im Beispiel mit einem höheren Anteil Solarenergie (20% anstelle von 15% bei Öl/Sonne bzw. Gas/Sonne) angenommen. Daher auch die höheren Kosten für den Bau der grösseren Solaranlage</t>
  </si>
  <si>
    <t>Förderung/Steuerabzug</t>
  </si>
  <si>
    <t>Hier können kantonale und kommunale Fördergelder, Steuerabzüge bei der Bundes- und Kantonssteuer sowie allfällige Überwälzungen an die Mieter in  Abzug gebracht werden.</t>
  </si>
  <si>
    <t>Total Investitionen</t>
  </si>
  <si>
    <t>Mittlere Abschreibungsdauer</t>
  </si>
  <si>
    <t>Annuität [%]      bei Realzins</t>
  </si>
  <si>
    <t>%</t>
  </si>
  <si>
    <t>Total Kapitalkosten</t>
  </si>
  <si>
    <t>Fr/a</t>
  </si>
  <si>
    <t>Energiekosten</t>
  </si>
  <si>
    <t>η/JAZ</t>
  </si>
  <si>
    <t>Endenergieverbrauch</t>
  </si>
  <si>
    <t>Heizöl EL</t>
  </si>
  <si>
    <t>Fr/100 Liter</t>
  </si>
  <si>
    <t>Erdgas Grundpreis</t>
  </si>
  <si>
    <t>Fr./a</t>
  </si>
  <si>
    <t>Erdgas</t>
  </si>
  <si>
    <t>Rp/kWh</t>
  </si>
  <si>
    <t>Durchschnittspreis in CH für private Haushalte - incl. Grundpreis</t>
  </si>
  <si>
    <t>Strom</t>
  </si>
  <si>
    <t>Wegen starker Unterschiede zwischen Elektrizitätswerken hier die 2015er Hoch- und Nieder-Tarife (HT und NT) von EKZ (Mixstrom)</t>
  </si>
  <si>
    <t>Strom Wärmepumpen-Tarif HT</t>
  </si>
  <si>
    <t>Falls beim eigenen Elektrizitätswerk keine Unterscheidung zwischen Hochtarif (HT) und Niedertarif (NT) gemacht wird, in beiden Zellen den gleichen Wert eingeben</t>
  </si>
  <si>
    <t>Strom Wärmepumpen-Tarif NT</t>
  </si>
  <si>
    <t>Preis für WP-Zähler</t>
  </si>
  <si>
    <t>Preis für WP- Zähler: Jahreskosten von EKZ für einen Wandlerzähler (WP); bei normalem Zähler meist deutlich niedrigere Werte</t>
  </si>
  <si>
    <t>Pellets in Silo geblasen</t>
  </si>
  <si>
    <t>Fr./t</t>
  </si>
  <si>
    <t>Fernwärme Grundpreis (incl. Messung)</t>
  </si>
  <si>
    <t>Rp./kWh</t>
  </si>
  <si>
    <t>Total Energiekosten</t>
  </si>
  <si>
    <t>Übrige Heizkosten</t>
  </si>
  <si>
    <t>Service und Reparatur</t>
  </si>
  <si>
    <t>Rauchgaskontrolle</t>
  </si>
  <si>
    <t>Kaminfeger</t>
  </si>
  <si>
    <t>Tankreinigung</t>
  </si>
  <si>
    <t>Weil die Brennstoffe Öl und Pellets immer im Voraus für das ganze Jahr bezahlt werden, fallen Zinskosten an.</t>
  </si>
  <si>
    <t>Verzinsung Brennstoff</t>
  </si>
  <si>
    <t>Total übrige Heizkosten</t>
  </si>
  <si>
    <t>Total Jahreskosten</t>
  </si>
  <si>
    <t>Kapitalkosten</t>
  </si>
  <si>
    <t>% Veränderung zu Öl</t>
  </si>
  <si>
    <t>Wärmepreis</t>
  </si>
  <si>
    <t>Jahreskosten mit externen Kosten</t>
  </si>
  <si>
    <t>Externe Kosten KEPZ variieren bei Fernwärme stark je nach verwendetem Energieträgermix.</t>
  </si>
  <si>
    <t xml:space="preserve">Jahreskosten  </t>
  </si>
  <si>
    <t>Externe Kosten: KEPZ pro kWh</t>
  </si>
  <si>
    <t>kalkulatorische Energiepreiszuschläge gemäss SIA 480; Kosten, die nicht der Heizungsbesitzer, sondern die Allgemeinheit trägt</t>
  </si>
  <si>
    <t>Externe Kosten: KEPZ pro Jahr</t>
  </si>
  <si>
    <t>Quellen / Grundlagen für den Heizkostenvergleich</t>
  </si>
  <si>
    <t>emittiert wurden. Die Gase wurden nach IPCC 2013 für den Betrachtungszeitraum 100 Jahre gemäss deren Wirkung addiert. Die Emissions-</t>
  </si>
  <si>
    <t>daten stammen aus dem ecoinvent v2.2+ Datenbestand (KBOB et al. 2014) und wurden berechnet von Treeze Ltd. (Büsser Knöpfel &amp; Frischknecht 2015).</t>
  </si>
  <si>
    <t xml:space="preserve">dem Betrieb anfallen. Die Belastungen werden gemäss der Ökobilanzbewertungsmethode Methode der ökologischen Knappheit (auch Ecological Scarcity, UBP-Methode) </t>
  </si>
  <si>
    <t>bewertet (gemäss Frischknecht et al. 2008 und Frischknecht &amp; Büsser Knöpfel 2013). Die Umweltdaten und Bewertungsscores stammen aus dem ecoinvent v2.2+ Datenbestand.</t>
  </si>
  <si>
    <t>und wurden berechnet von Treeze Ltd. (Büsser Knöpfel &amp; Frischknecht 2015).</t>
  </si>
  <si>
    <t>Haftungsausschluss</t>
  </si>
  <si>
    <t>Der vorliegende Vergleich der Heizungskosten wurde mit grösster Sorgfalt erstellt. Da viele Daten und Informationen jedoch von Dritten stammen, kann der WWF Schweiz die Richtigkeit, Genauigkeit und Vollständigkeit des Vergleichs und der zugrundeliegenden Daten nicht garantieren. Jegliche Haftung des WWF Schweiz für Schäden, welche direkt oder indirekt durch die Verwendung des Vergleichs entstehen, ist daher im gesetzlich zulässigen Rahmen ausgeschlossen. Aufgrund der grossen Preisunterschiede je nach Ort, Anbieter und  Nutzung des Gebäudes empfiehlt der WWF Schweiz, individuelle Werte zu recherchieren. Der WWF Schweiz behält sich vor, den Vergleich der Heizungskosten ohne Vorankündigung anzupassen. Das Urheberrecht am vorliegenden Vergleich der Heizkosten liegt beim WWF Schweiz. Der WWF Schweiz ist bestrebt, fremde Urheberrechte an einzelnen Daten zu wahren. Derartige Inhalte können nur mit Zustimmung des Urhebers verwendet werden.</t>
  </si>
  <si>
    <t>UBP13 Betrieb</t>
  </si>
  <si>
    <t>UBP13 Infra</t>
  </si>
  <si>
    <t>UBP13 Total</t>
  </si>
  <si>
    <t>GWP Betrieb</t>
  </si>
  <si>
    <t>GWP Infra</t>
  </si>
  <si>
    <t>GWP Total</t>
  </si>
  <si>
    <t>KBOB Nummer</t>
  </si>
  <si>
    <t>KBOB Name</t>
  </si>
  <si>
    <t>DS Name</t>
  </si>
  <si>
    <t>Name Offerte</t>
  </si>
  <si>
    <t>Einheit</t>
  </si>
  <si>
    <t>UBP</t>
  </si>
  <si>
    <t>kg CO2e</t>
  </si>
  <si>
    <t>Heat, light fuel oil, at boiler 10kW condensing, non-modulating/CH U</t>
  </si>
  <si>
    <t>Ölheizung, kondensierend</t>
  </si>
  <si>
    <t>MJ</t>
  </si>
  <si>
    <t>43.002</t>
  </si>
  <si>
    <t>Heizkessel Erdgas</t>
  </si>
  <si>
    <t>Heat, natural gas, at boiler condensing modulating &lt;100kW/RER U</t>
  </si>
  <si>
    <t>Erdgasheizung, kondensierend, modulierend</t>
  </si>
  <si>
    <t>44.001</t>
  </si>
  <si>
    <t>Elektrowärmepumpe Luft / Wasser (JAZ 2.8)</t>
  </si>
  <si>
    <t>Heat, at air-water heat pump 10kW/CH U</t>
  </si>
  <si>
    <t>elektrische Wärmepumpe, Luft/Wasser</t>
  </si>
  <si>
    <t>44.002</t>
  </si>
  <si>
    <t>Elektrowärmepumpe Erdsonden (JAZ 3.9)</t>
  </si>
  <si>
    <t>Heat, borehole heat exchanger, at brine-water heat pump 10kW/CH U</t>
  </si>
  <si>
    <t>elektrische Wärmepumpe, Sole/Wasser, inkl. Erdsonde</t>
  </si>
  <si>
    <t>43.008</t>
  </si>
  <si>
    <t>Heizkessel Pellets</t>
  </si>
  <si>
    <t>heat, wood pellets, at furnace 50kW, adjusted PM, with PF/MJ/CH U</t>
  </si>
  <si>
    <t>Holzpelletsheizung mit Partikelfilter</t>
  </si>
  <si>
    <t>43.012</t>
  </si>
  <si>
    <t>Heizkessel Pellets mit Partikelfilter</t>
  </si>
  <si>
    <t>heat, wood pellets, at furnace 50kW, adjusted PM, without PF/MJ/CH U</t>
  </si>
  <si>
    <t xml:space="preserve">Holzpelletsheizung </t>
  </si>
  <si>
    <t>heat, at 12 m2 Cu collector, one-family house, for combined system/CH U</t>
  </si>
  <si>
    <t>Sonnenkollektoren (Flachkollektoren)</t>
  </si>
  <si>
    <t>42.017</t>
  </si>
  <si>
    <t>Fernwärme mit Nutzung Kehrichtwärme, Durchschnitt Netze CH</t>
  </si>
  <si>
    <t>district heat, average Switzerland, at grid/MJ/CH U</t>
  </si>
  <si>
    <t>Fernwärme Schweiz</t>
  </si>
  <si>
    <t>42.011</t>
  </si>
  <si>
    <t>Kehrichtverbrennung</t>
  </si>
  <si>
    <t>district heat, from municipal waste incineration plant/MJ/CH U</t>
  </si>
  <si>
    <t>Fernwärme KVA</t>
  </si>
  <si>
    <t>42.003</t>
  </si>
  <si>
    <t>Heizzentrale Holz</t>
  </si>
  <si>
    <t>district heat, from wood, 6400kWth, emission control/MJ/CH U</t>
  </si>
  <si>
    <t>Fernwärme Holz</t>
  </si>
  <si>
    <t>45.022</t>
  </si>
  <si>
    <t>Mix zertifizierte Stromprodukte CH</t>
  </si>
  <si>
    <t>electricity, low voltage, certified electricity, at grid/kWh/CH U</t>
  </si>
  <si>
    <t>Strommix, zertifiziert</t>
  </si>
  <si>
    <t>45.020</t>
  </si>
  <si>
    <t>CH-Verbrauchermix</t>
  </si>
  <si>
    <t>electricity, low voltage, at grid/kWh/CH U</t>
  </si>
  <si>
    <t>Strommix, Liefermix</t>
  </si>
  <si>
    <t>neu</t>
  </si>
  <si>
    <t>electricity, winter season oct to march, low voltage, at grid/CH U</t>
  </si>
  <si>
    <t>Strommix, Liefermix, Winter</t>
  </si>
  <si>
    <t>Wärmepumpe Luft/Wasser betrieben mit</t>
  </si>
  <si>
    <t>Wärmepumpe Sole/Wasser betrieben mit</t>
  </si>
  <si>
    <t>Externe Kosten KEPZ</t>
  </si>
  <si>
    <t>Ausstoss fossiles CO2 ab Kamin bzw. CO2-eq in Tonnen pro Jahr</t>
  </si>
  <si>
    <t>Millionen UBP pro Jahr</t>
  </si>
  <si>
    <t>Jahreskosten in Schweizer Franken</t>
  </si>
  <si>
    <t>Bitte Auswahl treffen</t>
  </si>
  <si>
    <t>KVA</t>
  </si>
  <si>
    <t>zertifiziert</t>
  </si>
  <si>
    <t>ohne PF</t>
  </si>
  <si>
    <t>Holz</t>
  </si>
  <si>
    <t>Über die nächsten 20 Jahre gemittelter Zuschlag auf aktuellen CO2-Abgabe-Satz von 96 Fr/t (kann lt. Entwurf CO2-Gesetz bis 2030 auf 210 Fr/t steigen)</t>
  </si>
  <si>
    <t>Anstieg CO2-Abgabe über 96 Fr./t</t>
  </si>
  <si>
    <r>
      <t xml:space="preserve">Alle Kostenangaben im gesamten Excel-Dokument </t>
    </r>
    <r>
      <rPr>
        <b/>
        <sz val="10"/>
        <rFont val="Arial"/>
        <family val="2"/>
      </rPr>
      <t>ohne MWSt!</t>
    </r>
  </si>
  <si>
    <t>In diesen Kosten ist eine CO2-Abgabe von 96 Fr./t CO2 enthalten. Diese kann bis 2030 auf 210 Fr./t CO2 ansteigen (siehe Zelle B121)</t>
  </si>
  <si>
    <t>Investitionskosten und übrige Heizkosten: Branchenverbände, Energieplaner, eigene Recherchen, April 2015</t>
  </si>
  <si>
    <t>Energiekosten: Branchenverbände, Eidgenössische Elektrizitätskommission (ElCom), eigene Recherchen, April 2015</t>
  </si>
  <si>
    <t>Externe Kosten: kalkulatorische Energiepreiszuschläge gemäss SIA 480</t>
  </si>
  <si>
    <t xml:space="preserve">Treibhausgasemissionen: Beinhaltet sämtliche Treibhausgase die in der Produktion der Heizsysteme und Energieträger und dem Betrieb </t>
  </si>
  <si>
    <t xml:space="preserve">Gesamtumweltbelastung (UBP 2013 und UBP 2006): Erfasst eine breite Palette von Umweltbelastungen die in der Produktion der Heizsysteme und Energieträger und </t>
  </si>
  <si>
    <t>Energieverbrauch des jeweiligen Heizsystems, in Einheiten gemäss Zeile 17</t>
  </si>
  <si>
    <t>Wärmepreis mit externen Kosten</t>
  </si>
  <si>
    <t>Anstieg CO2-Abgabe</t>
  </si>
  <si>
    <t>Aktualisierte Version Mai 2019</t>
  </si>
  <si>
    <t>EFH in Weinfelden (Energiepreis aus Weinfelden)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</si>
</sst>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000"/>
    <numFmt numFmtId="165" formatCode="0.000"/>
    <numFmt numFmtId="166" formatCode="0.0"/>
    <numFmt numFmtId="167" formatCode="0.000000"/>
    <numFmt numFmtId="168" formatCode="_ * #,##0_ ;_ * \-#,##0_ ;_ * &quot;-&quot;??_ ;_ @_ "/>
    <numFmt numFmtId="169" formatCode="#,##0.0"/>
  </numFmts>
  <fonts count="23"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u/>
      <sz val="10"/>
      <color theme="10"/>
      <name val="Arial"/>
      <family val="2"/>
    </font>
    <font>
      <b/>
      <u/>
      <sz val="10"/>
      <color theme="10"/>
      <name val="Arial"/>
      <family val="2"/>
    </font>
    <font>
      <sz val="10"/>
      <name val="Arial"/>
      <family val="2"/>
    </font>
    <font>
      <b/>
      <i/>
      <sz val="12"/>
      <name val="Arial"/>
      <family val="2"/>
    </font>
    <font>
      <sz val="10"/>
      <color rgb="FF000000"/>
      <name val="Arial"/>
      <family val="2"/>
    </font>
    <font>
      <sz val="14"/>
      <name val="Arial"/>
      <family val="2"/>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6"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cellStyleXfs>
  <cellXfs count="165">
    <xf numFmtId="0" fontId="0" fillId="0" borderId="0" xfId="0"/>
    <xf numFmtId="1" fontId="0" fillId="0" borderId="0" xfId="0" applyNumberFormat="1"/>
    <xf numFmtId="1" fontId="1" fillId="0" borderId="0" xfId="0" applyNumberFormat="1" applyFont="1"/>
    <xf numFmtId="0" fontId="0" fillId="0" borderId="0" xfId="0" applyBorder="1"/>
    <xf numFmtId="0" fontId="0" fillId="0" borderId="2" xfId="0" applyBorder="1"/>
    <xf numFmtId="0" fontId="0" fillId="0" borderId="0" xfId="0"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1" fontId="2" fillId="0" borderId="0" xfId="0" applyNumberFormat="1" applyFont="1" applyProtection="1"/>
    <xf numFmtId="0" fontId="0" fillId="0" borderId="5" xfId="0" applyBorder="1"/>
    <xf numFmtId="0" fontId="0" fillId="0" borderId="7" xfId="0" applyBorder="1"/>
    <xf numFmtId="0" fontId="0" fillId="0" borderId="4" xfId="0" applyBorder="1"/>
    <xf numFmtId="0" fontId="0" fillId="0" borderId="6" xfId="0" applyBorder="1"/>
    <xf numFmtId="166" fontId="0" fillId="0" borderId="2" xfId="0" applyNumberFormat="1" applyBorder="1"/>
    <xf numFmtId="166" fontId="0" fillId="0" borderId="0" xfId="0" applyNumberFormat="1" applyBorder="1"/>
    <xf numFmtId="166" fontId="0" fillId="0" borderId="6" xfId="0" applyNumberFormat="1" applyBorder="1"/>
    <xf numFmtId="164" fontId="0" fillId="0" borderId="2" xfId="0" applyNumberFormat="1" applyBorder="1"/>
    <xf numFmtId="164" fontId="0" fillId="0" borderId="0" xfId="0" applyNumberFormat="1" applyBorder="1"/>
    <xf numFmtId="164" fontId="0" fillId="0" borderId="6" xfId="0" applyNumberFormat="1" applyBorder="1"/>
    <xf numFmtId="0" fontId="0" fillId="0" borderId="8" xfId="0" applyBorder="1"/>
    <xf numFmtId="0" fontId="0" fillId="0" borderId="9" xfId="0" applyBorder="1"/>
    <xf numFmtId="0" fontId="0" fillId="0" borderId="10" xfId="0" applyBorder="1"/>
    <xf numFmtId="0" fontId="0" fillId="0" borderId="0" xfId="0" applyFill="1" applyBorder="1"/>
    <xf numFmtId="0" fontId="2" fillId="0" borderId="6" xfId="0" applyFont="1" applyBorder="1"/>
    <xf numFmtId="0" fontId="2" fillId="0" borderId="9" xfId="0" applyFont="1" applyBorder="1"/>
    <xf numFmtId="0" fontId="2" fillId="0" borderId="0" xfId="0" applyFont="1"/>
    <xf numFmtId="0" fontId="2" fillId="0" borderId="0" xfId="0" applyFont="1" applyProtection="1"/>
    <xf numFmtId="164" fontId="0" fillId="0" borderId="0" xfId="0" applyNumberFormat="1"/>
    <xf numFmtId="164" fontId="0" fillId="0" borderId="6" xfId="0" applyNumberFormat="1" applyFill="1" applyBorder="1"/>
    <xf numFmtId="167" fontId="0" fillId="0" borderId="0" xfId="0" applyNumberFormat="1"/>
    <xf numFmtId="166" fontId="0" fillId="0" borderId="6" xfId="0" applyNumberFormat="1" applyFill="1" applyBorder="1"/>
    <xf numFmtId="0" fontId="2" fillId="0" borderId="0" xfId="0" applyFont="1" applyFill="1" applyBorder="1"/>
    <xf numFmtId="0" fontId="2" fillId="0" borderId="8" xfId="0" applyFont="1" applyFill="1" applyBorder="1"/>
    <xf numFmtId="166" fontId="0" fillId="0" borderId="9" xfId="0" applyNumberFormat="1" applyFill="1" applyBorder="1"/>
    <xf numFmtId="0" fontId="0" fillId="0" borderId="10" xfId="0" applyFill="1" applyBorder="1"/>
    <xf numFmtId="0" fontId="0" fillId="0" borderId="8" xfId="0" applyFill="1" applyBorder="1"/>
    <xf numFmtId="164" fontId="0" fillId="0" borderId="9" xfId="0" applyNumberFormat="1" applyFill="1" applyBorder="1"/>
    <xf numFmtId="0" fontId="2" fillId="0" borderId="0" xfId="0" applyFont="1" applyFill="1" applyBorder="1" applyAlignment="1" applyProtection="1">
      <alignment horizontal="center"/>
    </xf>
    <xf numFmtId="0" fontId="5" fillId="2" borderId="0" xfId="0" applyFont="1" applyFill="1" applyAlignment="1" applyProtection="1">
      <alignment horizontal="centerContinuous"/>
    </xf>
    <xf numFmtId="0" fontId="0" fillId="2" borderId="0" xfId="0" applyFill="1" applyAlignment="1" applyProtection="1">
      <alignment horizontal="centerContinuous"/>
    </xf>
    <xf numFmtId="1" fontId="1" fillId="2" borderId="0" xfId="0" applyNumberFormat="1" applyFont="1" applyFill="1" applyAlignment="1" applyProtection="1">
      <alignment horizontal="center"/>
    </xf>
    <xf numFmtId="1" fontId="9" fillId="2" borderId="0" xfId="0" applyNumberFormat="1" applyFont="1" applyFill="1" applyAlignment="1" applyProtection="1">
      <alignment horizontal="center"/>
    </xf>
    <xf numFmtId="0" fontId="0" fillId="2" borderId="0" xfId="0" applyFill="1" applyBorder="1" applyAlignment="1" applyProtection="1">
      <alignment horizontal="left"/>
    </xf>
    <xf numFmtId="168"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ill="1" applyBorder="1" applyAlignment="1" applyProtection="1">
      <alignment horizontal="center"/>
    </xf>
    <xf numFmtId="0" fontId="8" fillId="2" borderId="0" xfId="0" applyFont="1" applyFill="1" applyAlignment="1" applyProtection="1">
      <alignment horizontal="center"/>
    </xf>
    <xf numFmtId="0" fontId="0" fillId="2" borderId="0" xfId="0" applyFill="1" applyAlignment="1" applyProtection="1">
      <alignment horizontal="right"/>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8" fontId="8"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1"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8" fontId="1" fillId="2" borderId="0" xfId="2" applyNumberFormat="1" applyFont="1" applyFill="1" applyBorder="1" applyAlignment="1" applyProtection="1">
      <alignment horizontal="right"/>
    </xf>
    <xf numFmtId="0" fontId="13"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4" fillId="2" borderId="0" xfId="0" applyFont="1" applyFill="1" applyAlignment="1" applyProtection="1"/>
    <xf numFmtId="0" fontId="8" fillId="2" borderId="0" xfId="0" applyFont="1" applyFill="1" applyAlignment="1" applyProtection="1"/>
    <xf numFmtId="0" fontId="3" fillId="2" borderId="0" xfId="0" applyFont="1" applyFill="1" applyBorder="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13" fillId="2" borderId="0" xfId="0" applyFont="1" applyFill="1" applyAlignment="1" applyProtection="1"/>
    <xf numFmtId="0" fontId="0" fillId="2" borderId="0" xfId="0" applyFont="1" applyFill="1" applyAlignment="1" applyProtection="1"/>
    <xf numFmtId="0" fontId="15" fillId="2" borderId="0" xfId="0" applyFont="1" applyFill="1" applyAlignment="1" applyProtection="1"/>
    <xf numFmtId="1" fontId="15" fillId="2" borderId="0" xfId="0" applyNumberFormat="1" applyFont="1" applyFill="1" applyAlignment="1" applyProtection="1">
      <alignment horizontal="center"/>
    </xf>
    <xf numFmtId="0" fontId="15" fillId="2" borderId="0" xfId="0" applyFont="1" applyFill="1" applyAlignment="1" applyProtection="1">
      <alignment horizontal="left"/>
    </xf>
    <xf numFmtId="43" fontId="0" fillId="2" borderId="0" xfId="2" applyFont="1" applyFill="1" applyAlignment="1" applyProtection="1">
      <alignment horizontal="center"/>
    </xf>
    <xf numFmtId="43" fontId="2" fillId="2" borderId="0" xfId="2" applyFont="1" applyFill="1" applyAlignment="1" applyProtection="1">
      <alignment horizontal="center" wrapText="1"/>
    </xf>
    <xf numFmtId="43" fontId="0" fillId="2" borderId="0" xfId="2" applyFont="1" applyFill="1" applyBorder="1" applyAlignment="1" applyProtection="1">
      <alignment horizontal="center" wrapText="1"/>
    </xf>
    <xf numFmtId="43" fontId="0" fillId="2" borderId="0" xfId="2" applyFont="1" applyFill="1" applyBorder="1" applyAlignment="1" applyProtection="1">
      <alignment horizontal="center"/>
    </xf>
    <xf numFmtId="43" fontId="0" fillId="2" borderId="0" xfId="2" applyFont="1" applyFill="1" applyAlignment="1" applyProtection="1">
      <alignment horizontal="center" wrapText="1"/>
    </xf>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14" fillId="2" borderId="0" xfId="0" applyFont="1" applyFill="1" applyBorder="1" applyAlignment="1" applyProtection="1">
      <alignment horizontal="left" wrapText="1"/>
    </xf>
    <xf numFmtId="9" fontId="2" fillId="0" borderId="1" xfId="4" applyFont="1" applyFill="1" applyBorder="1" applyAlignment="1" applyProtection="1">
      <alignment horizontal="center"/>
      <protection locked="0"/>
    </xf>
    <xf numFmtId="0" fontId="1" fillId="2" borderId="0" xfId="0" applyFont="1" applyFill="1" applyBorder="1" applyAlignment="1" applyProtection="1">
      <alignment horizontal="left" wrapText="1"/>
    </xf>
    <xf numFmtId="168" fontId="2" fillId="0" borderId="1" xfId="2" applyNumberFormat="1" applyFont="1" applyFill="1" applyBorder="1" applyAlignment="1" applyProtection="1">
      <alignment horizontal="center"/>
      <protection locked="0"/>
    </xf>
    <xf numFmtId="43" fontId="2" fillId="0" borderId="1" xfId="2" applyNumberFormat="1" applyFont="1" applyFill="1" applyBorder="1" applyAlignment="1" applyProtection="1">
      <alignment horizontal="center"/>
      <protection locked="0"/>
    </xf>
    <xf numFmtId="168" fontId="10" fillId="0" borderId="13"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0" fontId="2" fillId="2" borderId="0" xfId="0" applyFont="1" applyFill="1" applyAlignment="1" applyProtection="1">
      <alignment horizontal="left"/>
    </xf>
    <xf numFmtId="3" fontId="0" fillId="2" borderId="0" xfId="0" applyNumberFormat="1" applyFill="1" applyAlignment="1" applyProtection="1">
      <alignment horizontal="right"/>
    </xf>
    <xf numFmtId="1" fontId="8" fillId="2" borderId="0" xfId="0" applyNumberFormat="1" applyFont="1" applyFill="1" applyAlignment="1" applyProtection="1">
      <alignment horizontal="right"/>
    </xf>
    <xf numFmtId="3" fontId="0" fillId="2" borderId="0" xfId="0" applyNumberFormat="1" applyFill="1" applyAlignment="1" applyProtection="1"/>
    <xf numFmtId="1" fontId="8" fillId="2" borderId="0" xfId="0" applyNumberFormat="1" applyFont="1" applyFill="1" applyAlignment="1" applyProtection="1"/>
    <xf numFmtId="2" fontId="8" fillId="2" borderId="0" xfId="0" applyNumberFormat="1" applyFont="1" applyFill="1" applyAlignment="1" applyProtection="1"/>
    <xf numFmtId="168" fontId="0" fillId="2" borderId="0" xfId="2" applyNumberFormat="1" applyFont="1" applyFill="1" applyAlignment="1" applyProtection="1">
      <alignment horizontal="right"/>
    </xf>
    <xf numFmtId="168"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69" fontId="0" fillId="0" borderId="1" xfId="2" applyNumberFormat="1" applyFont="1" applyFill="1" applyBorder="1" applyAlignment="1" applyProtection="1">
      <alignment horizontal="right"/>
      <protection locked="0"/>
    </xf>
    <xf numFmtId="169" fontId="2" fillId="0" borderId="1" xfId="0" applyNumberFormat="1" applyFon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 fillId="2" borderId="0" xfId="1" applyFill="1" applyAlignment="1" applyProtection="1"/>
    <xf numFmtId="0" fontId="2" fillId="2" borderId="0" xfId="0" applyFont="1" applyFill="1" applyAlignment="1" applyProtection="1">
      <alignment horizontal="center" vertical="top"/>
    </xf>
    <xf numFmtId="168" fontId="2" fillId="2" borderId="0" xfId="2" applyNumberFormat="1" applyFont="1" applyFill="1" applyAlignment="1" applyProtection="1">
      <alignment horizontal="left"/>
    </xf>
    <xf numFmtId="168" fontId="1" fillId="2" borderId="0" xfId="2" applyNumberFormat="1" applyFont="1" applyFill="1" applyAlignment="1" applyProtection="1">
      <alignment horizontal="left"/>
    </xf>
    <xf numFmtId="168" fontId="15" fillId="2" borderId="0" xfId="2" applyNumberFormat="1" applyFont="1" applyFill="1" applyAlignment="1" applyProtection="1">
      <alignment horizontal="left"/>
    </xf>
    <xf numFmtId="0" fontId="2" fillId="2" borderId="0" xfId="0" applyFont="1" applyFill="1" applyAlignment="1" applyProtection="1">
      <alignment wrapText="1"/>
    </xf>
    <xf numFmtId="0" fontId="13" fillId="2" borderId="0" xfId="0" applyFont="1" applyFill="1" applyAlignment="1" applyProtection="1">
      <alignment horizontal="left"/>
    </xf>
    <xf numFmtId="0" fontId="4" fillId="2" borderId="0" xfId="0" applyFont="1" applyFill="1" applyAlignment="1" applyProtection="1">
      <alignment horizontal="left"/>
    </xf>
    <xf numFmtId="1" fontId="0" fillId="2" borderId="0" xfId="0" applyNumberForma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0" fontId="2" fillId="2" borderId="0" xfId="0" applyFont="1" applyFill="1" applyAlignment="1" applyProtection="1">
      <alignment horizontal="left" vertical="top"/>
    </xf>
    <xf numFmtId="0" fontId="1" fillId="2" borderId="0" xfId="0" applyFont="1" applyFill="1" applyBorder="1" applyAlignment="1" applyProtection="1">
      <alignment horizontal="left"/>
    </xf>
    <xf numFmtId="0" fontId="21" fillId="0" borderId="0" xfId="0" applyFont="1" applyAlignment="1">
      <alignment horizontal="left" vertical="center" readingOrder="1"/>
    </xf>
    <xf numFmtId="0" fontId="5" fillId="2" borderId="0" xfId="0" applyFont="1" applyFill="1" applyBorder="1" applyAlignment="1" applyProtection="1"/>
    <xf numFmtId="0" fontId="13" fillId="2" borderId="0" xfId="0" applyFont="1" applyFill="1" applyBorder="1" applyAlignment="1" applyProtection="1"/>
    <xf numFmtId="0" fontId="18" fillId="2" borderId="0" xfId="3" applyFont="1" applyFill="1" applyBorder="1" applyAlignment="1" applyProtection="1">
      <protection locked="0"/>
    </xf>
    <xf numFmtId="0" fontId="18" fillId="2" borderId="0" xfId="3" applyFont="1" applyFill="1" applyBorder="1" applyAlignment="1" applyProtection="1"/>
    <xf numFmtId="0" fontId="15" fillId="2" borderId="0" xfId="0" applyFont="1" applyFill="1" applyBorder="1" applyAlignment="1" applyProtection="1">
      <alignment horizontal="left"/>
    </xf>
    <xf numFmtId="0" fontId="13" fillId="2" borderId="0" xfId="0" applyFont="1" applyFill="1" applyBorder="1" applyAlignment="1" applyProtection="1">
      <alignment horizontal="left"/>
    </xf>
    <xf numFmtId="0" fontId="8" fillId="2" borderId="0" xfId="0" applyFont="1" applyFill="1" applyBorder="1" applyAlignment="1" applyProtection="1"/>
    <xf numFmtId="0" fontId="7" fillId="2" borderId="0" xfId="0" applyFont="1" applyFill="1" applyBorder="1" applyAlignment="1" applyProtection="1"/>
    <xf numFmtId="166" fontId="0" fillId="0" borderId="1" xfId="0" applyNumberFormat="1" applyFill="1" applyBorder="1" applyAlignment="1" applyProtection="1">
      <alignment horizontal="right"/>
      <protection locked="0"/>
    </xf>
    <xf numFmtId="43" fontId="0" fillId="2" borderId="0" xfId="2" applyNumberFormat="1" applyFont="1" applyFill="1" applyAlignment="1" applyProtection="1">
      <alignment horizontal="right"/>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1" fontId="1" fillId="2" borderId="0" xfId="0" applyNumberFormat="1" applyFont="1" applyFill="1" applyBorder="1" applyAlignment="1" applyProtection="1"/>
    <xf numFmtId="1"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168" fontId="1" fillId="2" borderId="0" xfId="2" applyNumberFormat="1" applyFont="1" applyFill="1" applyAlignment="1" applyProtection="1">
      <alignment horizontal="right"/>
    </xf>
    <xf numFmtId="3" fontId="1" fillId="2" borderId="0" xfId="2" applyNumberFormat="1" applyFont="1" applyFill="1" applyAlignment="1" applyProtection="1">
      <alignment horizontal="right"/>
    </xf>
    <xf numFmtId="3" fontId="1" fillId="2" borderId="0" xfId="0" applyNumberFormat="1" applyFont="1" applyFill="1" applyAlignment="1" applyProtection="1">
      <alignment horizontal="right"/>
    </xf>
    <xf numFmtId="0" fontId="1" fillId="0" borderId="0" xfId="0" applyFont="1"/>
    <xf numFmtId="0" fontId="22" fillId="2" borderId="0" xfId="0" applyFont="1" applyFill="1" applyAlignment="1" applyProtection="1">
      <alignment horizontal="right"/>
    </xf>
    <xf numFmtId="0" fontId="2" fillId="3" borderId="0" xfId="0" applyFont="1" applyFill="1" applyBorder="1" applyAlignment="1" applyProtection="1"/>
    <xf numFmtId="165" fontId="2" fillId="3" borderId="0" xfId="0" applyNumberFormat="1" applyFont="1" applyFill="1" applyAlignment="1" applyProtection="1">
      <alignment horizontal="center"/>
      <protection locked="0"/>
    </xf>
    <xf numFmtId="165" fontId="2" fillId="2" borderId="0" xfId="0" applyNumberFormat="1" applyFont="1" applyFill="1" applyAlignment="1" applyProtection="1">
      <alignment horizontal="center"/>
    </xf>
    <xf numFmtId="0" fontId="2" fillId="2" borderId="0" xfId="0" applyFont="1" applyFill="1" applyAlignment="1" applyProtection="1">
      <alignment horizontal="center" wrapText="1"/>
    </xf>
    <xf numFmtId="0" fontId="2" fillId="2" borderId="0" xfId="0" applyFont="1" applyFill="1" applyBorder="1" applyAlignment="1" applyProtection="1">
      <alignment horizontal="center" wrapText="1"/>
    </xf>
    <xf numFmtId="0" fontId="2" fillId="2" borderId="0" xfId="0" applyFont="1" applyFill="1" applyAlignment="1" applyProtection="1">
      <alignment horizontal="left" vertical="top" wrapText="1"/>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 fillId="0" borderId="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4" fillId="2" borderId="0" xfId="0" applyFont="1" applyFill="1" applyBorder="1" applyAlignment="1" applyProtection="1">
      <alignment horizontal="left" wrapText="1"/>
    </xf>
    <xf numFmtId="0" fontId="13" fillId="2" borderId="0" xfId="0" applyFont="1" applyFill="1" applyBorder="1" applyAlignment="1" applyProtection="1">
      <alignment horizontal="center" wrapText="1"/>
    </xf>
    <xf numFmtId="1" fontId="1" fillId="2" borderId="0" xfId="0" applyNumberFormat="1" applyFont="1" applyFill="1" applyAlignment="1" applyProtection="1">
      <alignment horizontal="left" wrapText="1"/>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8" fillId="2" borderId="0" xfId="0" applyFont="1" applyFill="1" applyAlignment="1" applyProtection="1">
      <alignment horizontal="left" wrapText="1"/>
    </xf>
    <xf numFmtId="0" fontId="12" fillId="2" borderId="0" xfId="0" applyFont="1" applyFill="1" applyAlignment="1" applyProtection="1">
      <alignment horizontal="left" wrapText="1"/>
    </xf>
  </cellXfs>
  <cellStyles count="5">
    <cellStyle name="Komma" xfId="2" builtinId="3"/>
    <cellStyle name="Link" xfId="3" builtinId="8"/>
    <cellStyle name="Normal 2" xfId="1" xr:uid="{00000000-0005-0000-0000-000002000000}"/>
    <cellStyle name="Prozent" xfId="4"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4444310873354"/>
          <c:y val="4.0479980652824904E-2"/>
          <c:w val="0.65385345915729998"/>
          <c:h val="0.86113138296737302"/>
        </c:manualLayout>
      </c:layout>
      <c:barChart>
        <c:barDir val="col"/>
        <c:grouping val="stacked"/>
        <c:varyColors val="0"/>
        <c:ser>
          <c:idx val="0"/>
          <c:order val="0"/>
          <c:tx>
            <c:strRef>
              <c:f>Grafik!$A$3</c:f>
              <c:strCache>
                <c:ptCount val="1"/>
                <c:pt idx="0">
                  <c:v>Kapitalkosten</c:v>
                </c:pt>
              </c:strCache>
            </c:strRef>
          </c:tx>
          <c:spPr>
            <a:solidFill>
              <a:schemeClr val="accent1">
                <a:lumMod val="50000"/>
              </a:schemeClr>
            </a:solidFill>
            <a:ln w="12700">
              <a:solidFill>
                <a:schemeClr val="accent1">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Grafik!$B$3:$J$3</c:f>
              <c:numCache>
                <c:formatCode>0</c:formatCode>
                <c:ptCount val="9"/>
                <c:pt idx="0">
                  <c:v>1621.0981591323032</c:v>
                </c:pt>
                <c:pt idx="1">
                  <c:v>1303.5248142641146</c:v>
                </c:pt>
                <c:pt idx="2">
                  <c:v>2073.4319105927852</c:v>
                </c:pt>
                <c:pt idx="3">
                  <c:v>1759.2757709282109</c:v>
                </c:pt>
                <c:pt idx="4">
                  <c:v>1815.2925220313709</c:v>
                </c:pt>
                <c:pt idx="5">
                  <c:v>2317.0029324962234</c:v>
                </c:pt>
                <c:pt idx="6">
                  <c:v>2061.0779972318674</c:v>
                </c:pt>
                <c:pt idx="7">
                  <c:v>1624.2877805220724</c:v>
                </c:pt>
                <c:pt idx="8">
                  <c:v>0</c:v>
                </c:pt>
              </c:numCache>
            </c:numRef>
          </c:val>
          <c:extLst>
            <c:ext xmlns:c16="http://schemas.microsoft.com/office/drawing/2014/chart" uri="{C3380CC4-5D6E-409C-BE32-E72D297353CC}">
              <c16:uniqueId val="{00000000-73C3-4DA6-BB95-DF77DC9AFE47}"/>
            </c:ext>
          </c:extLst>
        </c:ser>
        <c:ser>
          <c:idx val="1"/>
          <c:order val="1"/>
          <c:tx>
            <c:strRef>
              <c:f>Grafik!$A$4</c:f>
              <c:strCache>
                <c:ptCount val="1"/>
                <c:pt idx="0">
                  <c:v>Energiekosten</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Grafik!$B$4:$J$4</c:f>
              <c:numCache>
                <c:formatCode>0</c:formatCode>
                <c:ptCount val="9"/>
                <c:pt idx="0">
                  <c:v>2448.4848484848485</c:v>
                </c:pt>
                <c:pt idx="1">
                  <c:v>3600</c:v>
                </c:pt>
                <c:pt idx="2">
                  <c:v>1692.2135294117647</c:v>
                </c:pt>
                <c:pt idx="3">
                  <c:v>2175.9715384615383</c:v>
                </c:pt>
                <c:pt idx="4">
                  <c:v>3079.268292682927</c:v>
                </c:pt>
                <c:pt idx="5">
                  <c:v>2463.414634146342</c:v>
                </c:pt>
                <c:pt idx="6">
                  <c:v>2102.4489795918366</c:v>
                </c:pt>
                <c:pt idx="7">
                  <c:v>3077.9999999999995</c:v>
                </c:pt>
                <c:pt idx="8">
                  <c:v>0</c:v>
                </c:pt>
              </c:numCache>
            </c:numRef>
          </c:val>
          <c:extLst>
            <c:ext xmlns:c16="http://schemas.microsoft.com/office/drawing/2014/chart" uri="{C3380CC4-5D6E-409C-BE32-E72D297353CC}">
              <c16:uniqueId val="{00000001-73C3-4DA6-BB95-DF77DC9AFE47}"/>
            </c:ext>
          </c:extLst>
        </c:ser>
        <c:ser>
          <c:idx val="2"/>
          <c:order val="2"/>
          <c:tx>
            <c:strRef>
              <c:f>Grafik!$A$5</c:f>
              <c:strCache>
                <c:ptCount val="1"/>
                <c:pt idx="0">
                  <c:v>Übrige Heizkosten</c:v>
                </c:pt>
              </c:strCache>
            </c:strRef>
          </c:tx>
          <c:spPr>
            <a:solidFill>
              <a:schemeClr val="bg2">
                <a:lumMod val="50000"/>
              </a:schemeClr>
            </a:solidFill>
            <a:ln w="12700">
              <a:solidFill>
                <a:schemeClr val="bg2">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Grafik!$B$5:$J$5</c:f>
              <c:numCache>
                <c:formatCode>0</c:formatCode>
                <c:ptCount val="9"/>
                <c:pt idx="0">
                  <c:v>768.969696969697</c:v>
                </c:pt>
                <c:pt idx="1">
                  <c:v>230</c:v>
                </c:pt>
                <c:pt idx="2">
                  <c:v>200</c:v>
                </c:pt>
                <c:pt idx="3">
                  <c:v>250</c:v>
                </c:pt>
                <c:pt idx="4">
                  <c:v>751.58536585365857</c:v>
                </c:pt>
                <c:pt idx="5">
                  <c:v>739.26829268292681</c:v>
                </c:pt>
                <c:pt idx="6">
                  <c:v>762.04897959183677</c:v>
                </c:pt>
                <c:pt idx="7">
                  <c:v>367</c:v>
                </c:pt>
                <c:pt idx="8">
                  <c:v>0</c:v>
                </c:pt>
              </c:numCache>
            </c:numRef>
          </c:val>
          <c:extLst>
            <c:ext xmlns:c16="http://schemas.microsoft.com/office/drawing/2014/chart" uri="{C3380CC4-5D6E-409C-BE32-E72D297353CC}">
              <c16:uniqueId val="{00000002-73C3-4DA6-BB95-DF77DC9AFE47}"/>
            </c:ext>
          </c:extLst>
        </c:ser>
        <c:ser>
          <c:idx val="3"/>
          <c:order val="3"/>
          <c:tx>
            <c:strRef>
              <c:f>Grafik!$A$6</c:f>
              <c:strCache>
                <c:ptCount val="1"/>
                <c:pt idx="0">
                  <c:v>Anstieg CO2-Abgabe</c:v>
                </c:pt>
              </c:strCache>
            </c:strRef>
          </c:tx>
          <c:spPr>
            <a:solidFill>
              <a:schemeClr val="bg2">
                <a:lumMod val="90000"/>
              </a:schemeClr>
            </a:solidFill>
            <a:ln w="12700">
              <a:solidFill>
                <a:schemeClr val="bg2">
                  <a:lumMod val="9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Grafik!$B$6:$J$6</c:f>
              <c:numCache>
                <c:formatCode>0</c:formatCode>
                <c:ptCount val="9"/>
                <c:pt idx="0">
                  <c:v>652.27636363636361</c:v>
                </c:pt>
                <c:pt idx="1">
                  <c:v>488.67839999999995</c:v>
                </c:pt>
                <c:pt idx="2">
                  <c:v>0</c:v>
                </c:pt>
                <c:pt idx="3">
                  <c:v>0</c:v>
                </c:pt>
                <c:pt idx="4">
                  <c:v>0</c:v>
                </c:pt>
                <c:pt idx="5">
                  <c:v>0</c:v>
                </c:pt>
                <c:pt idx="6">
                  <c:v>560.0924081632653</c:v>
                </c:pt>
                <c:pt idx="7">
                  <c:v>415.37663999999995</c:v>
                </c:pt>
                <c:pt idx="8">
                  <c:v>0</c:v>
                </c:pt>
              </c:numCache>
            </c:numRef>
          </c:val>
          <c:extLst>
            <c:ext xmlns:c16="http://schemas.microsoft.com/office/drawing/2014/chart" uri="{C3380CC4-5D6E-409C-BE32-E72D297353CC}">
              <c16:uniqueId val="{00000003-73C3-4DA6-BB95-DF77DC9AFE47}"/>
            </c:ext>
          </c:extLst>
        </c:ser>
        <c:ser>
          <c:idx val="5"/>
          <c:order val="4"/>
          <c:tx>
            <c:strRef>
              <c:f>Grafik!$A$7</c:f>
              <c:strCache>
                <c:ptCount val="1"/>
                <c:pt idx="0">
                  <c:v>Externe Kosten KEPZ</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Grafik!$B$7:$J$7</c:f>
              <c:numCache>
                <c:formatCode>0</c:formatCode>
                <c:ptCount val="9"/>
                <c:pt idx="0">
                  <c:v>918.18181818181813</c:v>
                </c:pt>
                <c:pt idx="1">
                  <c:v>606</c:v>
                </c:pt>
                <c:pt idx="2">
                  <c:v>297.05882352941177</c:v>
                </c:pt>
                <c:pt idx="3">
                  <c:v>388.46153846153845</c:v>
                </c:pt>
                <c:pt idx="4">
                  <c:v>369.51219512195121</c:v>
                </c:pt>
                <c:pt idx="5">
                  <c:v>295.60975609756105</c:v>
                </c:pt>
                <c:pt idx="6">
                  <c:v>788.41836734693879</c:v>
                </c:pt>
                <c:pt idx="7">
                  <c:v>515.1</c:v>
                </c:pt>
                <c:pt idx="8">
                  <c:v>363.6</c:v>
                </c:pt>
              </c:numCache>
            </c:numRef>
          </c:val>
          <c:extLst>
            <c:ext xmlns:c16="http://schemas.microsoft.com/office/drawing/2014/chart" uri="{C3380CC4-5D6E-409C-BE32-E72D297353CC}">
              <c16:uniqueId val="{00000004-73C3-4DA6-BB95-DF77DC9AFE47}"/>
            </c:ext>
          </c:extLst>
        </c:ser>
        <c:dLbls>
          <c:showLegendKey val="0"/>
          <c:showVal val="0"/>
          <c:showCatName val="0"/>
          <c:showSerName val="0"/>
          <c:showPercent val="0"/>
          <c:showBubbleSize val="0"/>
        </c:dLbls>
        <c:gapWidth val="150"/>
        <c:overlap val="100"/>
        <c:axId val="67877888"/>
        <c:axId val="68232320"/>
      </c:barChart>
      <c:catAx>
        <c:axId val="67877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8232320"/>
        <c:crosses val="autoZero"/>
        <c:auto val="0"/>
        <c:lblAlgn val="ctr"/>
        <c:lblOffset val="100"/>
        <c:tickLblSkip val="1"/>
        <c:tickMarkSkip val="1"/>
        <c:noMultiLvlLbl val="0"/>
      </c:catAx>
      <c:valAx>
        <c:axId val="68232320"/>
        <c:scaling>
          <c:orientation val="minMax"/>
        </c:scaling>
        <c:delete val="0"/>
        <c:axPos val="l"/>
        <c:title>
          <c:tx>
            <c:rich>
              <a:bodyPr rot="-5400000" vert="horz"/>
              <a:lstStyle/>
              <a:p>
                <a:pPr>
                  <a:defRPr sz="1000" b="0"/>
                </a:pPr>
                <a:r>
                  <a:rPr lang="en-GB" sz="1000" b="0"/>
                  <a:t>Jahreskosten</a:t>
                </a:r>
                <a:r>
                  <a:rPr lang="en-GB" sz="1000" b="0" baseline="0"/>
                  <a:t> in Schweizer Franken</a:t>
                </a:r>
                <a:endParaRPr lang="en-GB" sz="1000" b="0"/>
              </a:p>
            </c:rich>
          </c:tx>
          <c:layout>
            <c:manualLayout>
              <c:xMode val="edge"/>
              <c:yMode val="edge"/>
              <c:x val="0.25741920618701286"/>
              <c:y val="0.1485342380982865"/>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7877888"/>
        <c:crosses val="autoZero"/>
        <c:crossBetween val="between"/>
      </c:valAx>
      <c:spPr>
        <a:solidFill>
          <a:srgbClr val="E3E3E3"/>
        </a:solidFill>
        <a:ln w="3175">
          <a:solidFill>
            <a:srgbClr val="808080"/>
          </a:solidFill>
          <a:prstDash val="solid"/>
        </a:ln>
      </c:spPr>
    </c:plotArea>
    <c:legend>
      <c:legendPos val="l"/>
      <c:layout>
        <c:manualLayout>
          <c:xMode val="edge"/>
          <c:yMode val="edge"/>
          <c:x val="3.8735048386127312E-2"/>
          <c:y val="0.27307883262559657"/>
          <c:w val="0.16261305123119152"/>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83218121074181"/>
          <c:y val="7.7330002691135741E-2"/>
          <c:w val="0.61259974460104516"/>
          <c:h val="0.78737857335081129"/>
        </c:manualLayout>
      </c:layout>
      <c:barChart>
        <c:barDir val="col"/>
        <c:grouping val="clustered"/>
        <c:varyColors val="0"/>
        <c:ser>
          <c:idx val="3"/>
          <c:order val="0"/>
          <c:tx>
            <c:strRef>
              <c:f>'Kosten- &amp; Umweltbilanz'!$A$44:$C$44</c:f>
              <c:strCache>
                <c:ptCount val="3"/>
                <c:pt idx="0">
                  <c:v>Ausstoss fossiles CO2 ab Kamin</c:v>
                </c:pt>
                <c:pt idx="2">
                  <c:v>[t/Jahr]</c:v>
                </c:pt>
              </c:strCache>
            </c:strRef>
          </c:tx>
          <c:spPr>
            <a:solidFill>
              <a:schemeClr val="tx1">
                <a:lumMod val="25000"/>
                <a:lumOff val="75000"/>
              </a:schemeClr>
            </a:solid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Umweltbilanz'!$D$44:$L$44</c:f>
              <c:numCache>
                <c:formatCode>_(* #,##0.00_);_(* \(#,##0.00\);_(* "-"??_);_(@_)</c:formatCode>
                <c:ptCount val="9"/>
                <c:pt idx="0">
                  <c:v>5.4356363636363634</c:v>
                </c:pt>
                <c:pt idx="1">
                  <c:v>4.0723199999999995</c:v>
                </c:pt>
                <c:pt idx="2">
                  <c:v>0</c:v>
                </c:pt>
                <c:pt idx="3">
                  <c:v>0</c:v>
                </c:pt>
                <c:pt idx="4">
                  <c:v>0</c:v>
                </c:pt>
                <c:pt idx="5">
                  <c:v>0</c:v>
                </c:pt>
                <c:pt idx="6">
                  <c:v>4.6674367346938777</c:v>
                </c:pt>
                <c:pt idx="7">
                  <c:v>3.4614719999999997</c:v>
                </c:pt>
                <c:pt idx="8">
                  <c:v>0</c:v>
                </c:pt>
              </c:numCache>
            </c:numRef>
          </c:val>
          <c:extLst>
            <c:ext xmlns:c16="http://schemas.microsoft.com/office/drawing/2014/chart" uri="{C3380CC4-5D6E-409C-BE32-E72D297353CC}">
              <c16:uniqueId val="{00000000-9A1A-4015-814E-B62546BB2C55}"/>
            </c:ext>
          </c:extLst>
        </c:ser>
        <c:ser>
          <c:idx val="0"/>
          <c:order val="1"/>
          <c:tx>
            <c:strRef>
              <c:f>'Kosten- &amp; Umweltbilanz'!$A$45:$C$45</c:f>
              <c:strCache>
                <c:ptCount val="3"/>
                <c:pt idx="0">
                  <c:v>Treibhausgasemissionen (CO2-eq)</c:v>
                </c:pt>
                <c:pt idx="2">
                  <c:v>[t/Jahr]</c:v>
                </c:pt>
              </c:strCache>
            </c:strRef>
          </c:tx>
          <c:spPr>
            <a:solidFill>
              <a:schemeClr val="accent1"/>
            </a:solidFill>
            <a:ln w="12700">
              <a:solidFill>
                <a:schemeClr val="accent1"/>
              </a:solidFill>
            </a:ln>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Umweltbilanz'!$D$45:$L$45</c:f>
              <c:numCache>
                <c:formatCode>_(* #,##0.00_);_(* \(#,##0.00\);_(* "-"??_);_(@_)</c:formatCode>
                <c:ptCount val="9"/>
                <c:pt idx="0">
                  <c:v>6.5635353163636365</c:v>
                </c:pt>
                <c:pt idx="1">
                  <c:v>5.1251161569795913</c:v>
                </c:pt>
                <c:pt idx="2">
                  <c:v>1.2726578680094118</c:v>
                </c:pt>
                <c:pt idx="3">
                  <c:v>1.651157933427692</c:v>
                </c:pt>
                <c:pt idx="4">
                  <c:v>0.99257215981810676</c:v>
                </c:pt>
                <c:pt idx="5">
                  <c:v>0.9506887540944855</c:v>
                </c:pt>
                <c:pt idx="6">
                  <c:v>5.7534069112310195</c:v>
                </c:pt>
                <c:pt idx="7">
                  <c:v>4.4738220031126517</c:v>
                </c:pt>
                <c:pt idx="8">
                  <c:v>2.1861920498399998</c:v>
                </c:pt>
              </c:numCache>
            </c:numRef>
          </c:val>
          <c:extLst>
            <c:ext xmlns:c16="http://schemas.microsoft.com/office/drawing/2014/chart" uri="{C3380CC4-5D6E-409C-BE32-E72D297353CC}">
              <c16:uniqueId val="{00000001-9A1A-4015-814E-B62546BB2C55}"/>
            </c:ext>
          </c:extLst>
        </c:ser>
        <c:ser>
          <c:idx val="4"/>
          <c:order val="2"/>
          <c:spPr>
            <a:no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Umweltbilanz'!$D$47:$L$47</c:f>
              <c:numCache>
                <c:formatCode>0.000</c:formatCode>
                <c:ptCount val="9"/>
              </c:numCache>
            </c:numRef>
          </c:val>
          <c:extLst>
            <c:ext xmlns:c16="http://schemas.microsoft.com/office/drawing/2014/chart" uri="{C3380CC4-5D6E-409C-BE32-E72D297353CC}">
              <c16:uniqueId val="{00000002-9A1A-4015-814E-B62546BB2C55}"/>
            </c:ext>
          </c:extLst>
        </c:ser>
        <c:dLbls>
          <c:showLegendKey val="0"/>
          <c:showVal val="0"/>
          <c:showCatName val="0"/>
          <c:showSerName val="0"/>
          <c:showPercent val="0"/>
          <c:showBubbleSize val="0"/>
        </c:dLbls>
        <c:gapWidth val="150"/>
        <c:axId val="84723584"/>
        <c:axId val="84725120"/>
      </c:barChart>
      <c:barChart>
        <c:barDir val="col"/>
        <c:grouping val="clustered"/>
        <c:varyColors val="0"/>
        <c:ser>
          <c:idx val="2"/>
          <c:order val="3"/>
          <c:spPr>
            <a:no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Umweltbilanz'!$D$47:$L$47</c:f>
              <c:numCache>
                <c:formatCode>0.000</c:formatCode>
                <c:ptCount val="9"/>
              </c:numCache>
            </c:numRef>
          </c:val>
          <c:extLst>
            <c:ext xmlns:c16="http://schemas.microsoft.com/office/drawing/2014/chart" uri="{C3380CC4-5D6E-409C-BE32-E72D297353CC}">
              <c16:uniqueId val="{00000003-9A1A-4015-814E-B62546BB2C55}"/>
            </c:ext>
          </c:extLst>
        </c:ser>
        <c:ser>
          <c:idx val="5"/>
          <c:order val="4"/>
          <c:spPr>
            <a:no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Umweltbilanz'!$D$47:$L$47</c:f>
              <c:numCache>
                <c:formatCode>0.000</c:formatCode>
                <c:ptCount val="9"/>
              </c:numCache>
            </c:numRef>
          </c:val>
          <c:extLst>
            <c:ext xmlns:c16="http://schemas.microsoft.com/office/drawing/2014/chart" uri="{C3380CC4-5D6E-409C-BE32-E72D297353CC}">
              <c16:uniqueId val="{00000004-9A1A-4015-814E-B62546BB2C55}"/>
            </c:ext>
          </c:extLst>
        </c:ser>
        <c:ser>
          <c:idx val="1"/>
          <c:order val="5"/>
          <c:tx>
            <c:strRef>
              <c:f>'Kosten- &amp; Umweltbilanz'!$A$46:$C$46</c:f>
              <c:strCache>
                <c:ptCount val="3"/>
                <c:pt idx="0">
                  <c:v>Gesamtumweltbelastung (UBP 2013)</c:v>
                </c:pt>
                <c:pt idx="2">
                  <c:v>[Mio Pt/Jahr]</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Umweltbilanz'!$D$46:$L$46</c:f>
              <c:numCache>
                <c:formatCode>_(* #,##0.00_);_(* \(#,##0.00\);_(* "-"??_);_(@_)</c:formatCode>
                <c:ptCount val="9"/>
                <c:pt idx="0">
                  <c:v>4.9880452043636359</c:v>
                </c:pt>
                <c:pt idx="1">
                  <c:v>3.112387134612244</c:v>
                </c:pt>
                <c:pt idx="2">
                  <c:v>2.7399644146588233</c:v>
                </c:pt>
                <c:pt idx="3">
                  <c:v>3.4987340412553847</c:v>
                </c:pt>
                <c:pt idx="4">
                  <c:v>2.1656328644894587</c:v>
                </c:pt>
                <c:pt idx="5">
                  <c:v>2.1155790350315673</c:v>
                </c:pt>
                <c:pt idx="6">
                  <c:v>4.5704066386738766</c:v>
                </c:pt>
                <c:pt idx="7">
                  <c:v>2.9328336220004076</c:v>
                </c:pt>
                <c:pt idx="8">
                  <c:v>1.836763578</c:v>
                </c:pt>
              </c:numCache>
            </c:numRef>
          </c:val>
          <c:extLst>
            <c:ext xmlns:c16="http://schemas.microsoft.com/office/drawing/2014/chart" uri="{C3380CC4-5D6E-409C-BE32-E72D297353CC}">
              <c16:uniqueId val="{00000005-9A1A-4015-814E-B62546BB2C55}"/>
            </c:ext>
          </c:extLst>
        </c:ser>
        <c:dLbls>
          <c:showLegendKey val="0"/>
          <c:showVal val="0"/>
          <c:showCatName val="0"/>
          <c:showSerName val="0"/>
          <c:showPercent val="0"/>
          <c:showBubbleSize val="0"/>
        </c:dLbls>
        <c:gapWidth val="150"/>
        <c:axId val="84729216"/>
        <c:axId val="84727296"/>
      </c:barChart>
      <c:catAx>
        <c:axId val="8472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780000" vert="horz"/>
          <a:lstStyle/>
          <a:p>
            <a:pPr>
              <a:defRPr sz="1000" b="0" i="0" u="none" strike="noStrike" baseline="0">
                <a:solidFill>
                  <a:srgbClr val="000000"/>
                </a:solidFill>
                <a:latin typeface="Arial"/>
                <a:ea typeface="Arial"/>
                <a:cs typeface="Arial"/>
              </a:defRPr>
            </a:pPr>
            <a:endParaRPr lang="de-DE"/>
          </a:p>
        </c:txPr>
        <c:crossAx val="84725120"/>
        <c:crosses val="autoZero"/>
        <c:auto val="0"/>
        <c:lblAlgn val="ctr"/>
        <c:lblOffset val="100"/>
        <c:tickLblSkip val="1"/>
        <c:tickMarkSkip val="1"/>
        <c:noMultiLvlLbl val="0"/>
      </c:catAx>
      <c:valAx>
        <c:axId val="847251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Ausstoss fossiles CO2 ab Kamin bzw. CO2-eq in Tonnen pro Jahr</a:t>
                </a:r>
              </a:p>
            </c:rich>
          </c:tx>
          <c:layout>
            <c:manualLayout>
              <c:xMode val="edge"/>
              <c:yMode val="edge"/>
              <c:x val="0.25001795332136445"/>
              <c:y val="0.1115273597752568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4723584"/>
        <c:crosses val="autoZero"/>
        <c:crossBetween val="between"/>
      </c:valAx>
      <c:valAx>
        <c:axId val="84727296"/>
        <c:scaling>
          <c:orientation val="minMax"/>
        </c:scaling>
        <c:delete val="0"/>
        <c:axPos val="r"/>
        <c:title>
          <c:tx>
            <c:rich>
              <a:bodyPr rot="-5400000" vert="horz"/>
              <a:lstStyle/>
              <a:p>
                <a:pPr>
                  <a:defRPr sz="1000" b="0"/>
                </a:pPr>
                <a:r>
                  <a:rPr lang="en-GB" sz="1000" b="0"/>
                  <a:t>Millionen</a:t>
                </a:r>
                <a:r>
                  <a:rPr lang="en-GB" sz="1000" b="0" baseline="0"/>
                  <a:t> UBP pro Jahr</a:t>
                </a:r>
                <a:endParaRPr lang="en-GB" sz="1000" b="0"/>
              </a:p>
            </c:rich>
          </c:tx>
          <c:layout>
            <c:manualLayout>
              <c:xMode val="edge"/>
              <c:yMode val="edge"/>
              <c:x val="0.9743000796354675"/>
              <c:y val="0.2921673278056966"/>
            </c:manualLayout>
          </c:layout>
          <c:overlay val="0"/>
        </c:title>
        <c:numFmt formatCode="0.0" sourceLinked="0"/>
        <c:majorTickMark val="out"/>
        <c:minorTickMark val="none"/>
        <c:tickLblPos val="nextTo"/>
        <c:txPr>
          <a:bodyPr/>
          <a:lstStyle/>
          <a:p>
            <a:pPr>
              <a:defRPr sz="1000"/>
            </a:pPr>
            <a:endParaRPr lang="de-DE"/>
          </a:p>
        </c:txPr>
        <c:crossAx val="84729216"/>
        <c:crosses val="max"/>
        <c:crossBetween val="between"/>
      </c:valAx>
      <c:catAx>
        <c:axId val="84729216"/>
        <c:scaling>
          <c:orientation val="minMax"/>
        </c:scaling>
        <c:delete val="1"/>
        <c:axPos val="b"/>
        <c:numFmt formatCode="General" sourceLinked="1"/>
        <c:majorTickMark val="out"/>
        <c:minorTickMark val="none"/>
        <c:tickLblPos val="nextTo"/>
        <c:crossAx val="84727296"/>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3.8914036104553358E-2"/>
          <c:y val="0.29344647398147045"/>
          <c:w val="0.17536587549536559"/>
          <c:h val="0.3735088645115795"/>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57151</xdr:colOff>
      <xdr:row>33</xdr:row>
      <xdr:rowOff>114300</xdr:rowOff>
    </xdr:from>
    <xdr:to>
      <xdr:col>12</xdr:col>
      <xdr:colOff>133351</xdr:colOff>
      <xdr:row>34</xdr:row>
      <xdr:rowOff>9525</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46</xdr:row>
      <xdr:rowOff>145676</xdr:rowOff>
    </xdr:from>
    <xdr:to>
      <xdr:col>12</xdr:col>
      <xdr:colOff>704851</xdr:colOff>
      <xdr:row>47</xdr:row>
      <xdr:rowOff>3832412</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heiz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153"/>
  <sheetViews>
    <sheetView showZeros="0" tabSelected="1" zoomScale="85" zoomScaleNormal="85" workbookViewId="0">
      <selection activeCell="B91" sqref="B91"/>
    </sheetView>
  </sheetViews>
  <sheetFormatPr baseColWidth="10" defaultColWidth="9.140625" defaultRowHeight="12.75" x14ac:dyDescent="0.2"/>
  <cols>
    <col min="1" max="1" width="33.28515625" style="57" customWidth="1"/>
    <col min="2" max="2" width="5.28515625" style="51" customWidth="1"/>
    <col min="3" max="3" width="12.28515625" style="51" bestFit="1" customWidth="1"/>
    <col min="4" max="13" width="10.85546875" style="51" customWidth="1"/>
    <col min="14" max="14" width="117.140625" style="88" customWidth="1"/>
    <col min="15" max="256" width="11.42578125" style="51" customWidth="1"/>
    <col min="257" max="16384" width="9.140625" style="51"/>
  </cols>
  <sheetData>
    <row r="1" spans="1:16" ht="18" x14ac:dyDescent="0.25">
      <c r="A1" s="122" t="s">
        <v>0</v>
      </c>
      <c r="G1" s="38"/>
      <c r="H1" s="39"/>
      <c r="I1" s="39"/>
      <c r="K1" s="146"/>
      <c r="L1" s="146"/>
      <c r="N1" s="105" t="s">
        <v>1</v>
      </c>
    </row>
    <row r="2" spans="1:16" x14ac:dyDescent="0.2">
      <c r="A2" s="78" t="s">
        <v>2</v>
      </c>
      <c r="B2" s="154" t="s">
        <v>3</v>
      </c>
      <c r="C2" s="154"/>
      <c r="D2" s="154"/>
      <c r="N2" s="152" t="s">
        <v>4</v>
      </c>
    </row>
    <row r="3" spans="1:16" x14ac:dyDescent="0.2">
      <c r="C3" s="53"/>
      <c r="N3" s="152"/>
    </row>
    <row r="4" spans="1:16" x14ac:dyDescent="0.2">
      <c r="A4" s="154" t="s">
        <v>5</v>
      </c>
      <c r="B4" s="154"/>
      <c r="C4" s="154"/>
      <c r="D4" s="154"/>
      <c r="E4" s="154"/>
      <c r="F4" s="154"/>
      <c r="G4" s="154"/>
      <c r="H4" s="154"/>
      <c r="I4" s="154"/>
      <c r="J4" s="154"/>
      <c r="K4" s="154"/>
      <c r="L4" s="68"/>
      <c r="N4" s="133"/>
    </row>
    <row r="5" spans="1:16" x14ac:dyDescent="0.2">
      <c r="A5" s="123"/>
      <c r="B5" s="68"/>
      <c r="C5" s="70"/>
      <c r="D5" s="68"/>
      <c r="E5" s="68"/>
      <c r="F5" s="68"/>
      <c r="G5" s="68"/>
      <c r="H5" s="68"/>
      <c r="I5" s="68"/>
      <c r="J5" s="68"/>
      <c r="K5" s="68"/>
      <c r="L5" s="68"/>
      <c r="N5" s="133"/>
    </row>
    <row r="6" spans="1:16" s="55" customFormat="1" x14ac:dyDescent="0.2">
      <c r="A6" s="66" t="s">
        <v>6</v>
      </c>
      <c r="B6" s="70"/>
      <c r="C6" s="70"/>
      <c r="D6" s="71"/>
      <c r="E6" s="71"/>
      <c r="F6" s="72"/>
      <c r="G6" s="70"/>
      <c r="H6" s="71"/>
      <c r="I6" s="71"/>
      <c r="J6" s="71"/>
      <c r="K6" s="71"/>
      <c r="L6" s="71"/>
      <c r="M6" s="51"/>
      <c r="N6" s="106"/>
      <c r="O6" s="52"/>
      <c r="P6" s="52"/>
    </row>
    <row r="7" spans="1:16" s="55" customFormat="1" x14ac:dyDescent="0.2">
      <c r="A7" s="123"/>
      <c r="B7" s="70"/>
      <c r="C7" s="70"/>
      <c r="D7" s="71"/>
      <c r="E7" s="71"/>
      <c r="F7" s="72"/>
      <c r="G7" s="70"/>
      <c r="H7" s="71"/>
      <c r="I7" s="71"/>
      <c r="J7" s="71"/>
      <c r="K7" s="71"/>
      <c r="L7" s="71"/>
      <c r="M7" s="51"/>
      <c r="N7" s="52"/>
      <c r="O7" s="52"/>
      <c r="P7" s="52"/>
    </row>
    <row r="8" spans="1:16" s="55" customFormat="1" x14ac:dyDescent="0.2">
      <c r="A8" s="160" t="s">
        <v>7</v>
      </c>
      <c r="B8" s="160"/>
      <c r="C8" s="160"/>
      <c r="D8" s="160"/>
      <c r="E8" s="160"/>
      <c r="F8" s="160"/>
      <c r="G8" s="160"/>
      <c r="H8" s="160"/>
      <c r="I8" s="160"/>
      <c r="J8" s="160"/>
      <c r="K8" s="160"/>
      <c r="L8" s="160"/>
      <c r="M8" s="51"/>
      <c r="N8" s="106" t="s">
        <v>8</v>
      </c>
      <c r="O8" s="52"/>
      <c r="P8" s="52"/>
    </row>
    <row r="9" spans="1:16" s="55" customFormat="1" x14ac:dyDescent="0.2">
      <c r="A9" s="124" t="s">
        <v>9</v>
      </c>
      <c r="B9" s="52"/>
      <c r="C9" s="52"/>
      <c r="D9" s="40"/>
      <c r="E9" s="40"/>
      <c r="F9" s="134"/>
      <c r="G9" s="107"/>
      <c r="H9" s="40"/>
      <c r="I9" s="41"/>
      <c r="J9" s="40"/>
      <c r="K9" s="52"/>
      <c r="L9" s="52"/>
      <c r="M9" s="51"/>
      <c r="N9" s="106"/>
      <c r="O9" s="52"/>
      <c r="P9" s="52"/>
    </row>
    <row r="10" spans="1:16" s="55" customFormat="1" x14ac:dyDescent="0.2">
      <c r="A10" s="125"/>
      <c r="B10" s="52"/>
      <c r="C10" s="52"/>
      <c r="D10" s="40"/>
      <c r="E10" s="40"/>
      <c r="F10" s="134"/>
      <c r="G10" s="107"/>
      <c r="H10" s="40"/>
      <c r="I10" s="41"/>
      <c r="J10" s="40"/>
      <c r="K10" s="52"/>
      <c r="L10" s="52"/>
      <c r="M10" s="51"/>
      <c r="N10" s="106"/>
      <c r="O10" s="52"/>
      <c r="P10" s="52"/>
    </row>
    <row r="11" spans="1:16" ht="15.75" x14ac:dyDescent="0.25">
      <c r="A11" s="56" t="s">
        <v>10</v>
      </c>
      <c r="B11" s="57"/>
      <c r="K11" s="57"/>
      <c r="L11" s="57"/>
      <c r="N11" s="133"/>
    </row>
    <row r="12" spans="1:16" ht="16.5" thickBot="1" x14ac:dyDescent="0.3">
      <c r="A12" s="56"/>
      <c r="B12" s="57"/>
      <c r="C12" s="57"/>
      <c r="K12" s="57"/>
      <c r="L12" s="57"/>
      <c r="N12" s="106"/>
    </row>
    <row r="13" spans="1:16" ht="13.5" thickBot="1" x14ac:dyDescent="0.25">
      <c r="A13" s="66" t="s">
        <v>11</v>
      </c>
      <c r="B13" s="57"/>
      <c r="D13" s="86">
        <v>180</v>
      </c>
      <c r="E13" s="57" t="s">
        <v>12</v>
      </c>
      <c r="G13" s="42" t="s">
        <v>13</v>
      </c>
      <c r="H13" s="155" t="s">
        <v>237</v>
      </c>
      <c r="I13" s="156"/>
      <c r="J13" s="156"/>
      <c r="K13" s="156"/>
      <c r="L13" s="157"/>
      <c r="N13" s="59" t="s">
        <v>14</v>
      </c>
      <c r="O13" s="58"/>
      <c r="P13" s="58"/>
    </row>
    <row r="14" spans="1:16" x14ac:dyDescent="0.2">
      <c r="B14" s="57"/>
      <c r="C14" s="57"/>
      <c r="D14" s="57"/>
      <c r="E14" s="57"/>
      <c r="F14" s="57"/>
      <c r="G14" s="57"/>
      <c r="H14" s="57"/>
      <c r="I14" s="57"/>
      <c r="J14" s="57"/>
      <c r="K14" s="57"/>
      <c r="L14" s="57"/>
      <c r="N14" s="59"/>
      <c r="O14" s="58"/>
      <c r="P14" s="58"/>
    </row>
    <row r="15" spans="1:16" x14ac:dyDescent="0.2">
      <c r="A15" s="78" t="s">
        <v>15</v>
      </c>
      <c r="B15" s="57"/>
      <c r="C15" s="57"/>
      <c r="D15" s="57"/>
      <c r="E15" s="57"/>
      <c r="F15" s="57"/>
      <c r="G15" s="57"/>
      <c r="H15" s="57"/>
      <c r="I15" s="57"/>
      <c r="J15" s="57"/>
      <c r="K15" s="57"/>
      <c r="L15" s="57"/>
      <c r="N15" s="59"/>
      <c r="O15" s="58"/>
      <c r="P15" s="58"/>
    </row>
    <row r="16" spans="1:16" x14ac:dyDescent="0.2">
      <c r="A16" s="42" t="s">
        <v>16</v>
      </c>
      <c r="C16" s="135" t="s">
        <v>17</v>
      </c>
      <c r="D16" s="135" t="s">
        <v>18</v>
      </c>
      <c r="E16" s="135" t="s">
        <v>19</v>
      </c>
      <c r="F16" s="137" t="s">
        <v>20</v>
      </c>
      <c r="G16" s="137" t="s">
        <v>21</v>
      </c>
      <c r="H16" s="45" t="s">
        <v>22</v>
      </c>
      <c r="I16" s="45" t="s">
        <v>23</v>
      </c>
      <c r="J16" s="45" t="s">
        <v>24</v>
      </c>
      <c r="K16" s="45" t="s">
        <v>25</v>
      </c>
      <c r="L16" s="45" t="s">
        <v>26</v>
      </c>
      <c r="N16" s="59" t="s">
        <v>27</v>
      </c>
      <c r="O16" s="58"/>
      <c r="P16" s="58"/>
    </row>
    <row r="17" spans="1:14" ht="13.5" thickBot="1" x14ac:dyDescent="0.25">
      <c r="A17" s="42" t="s">
        <v>28</v>
      </c>
      <c r="C17" s="45" t="s">
        <v>29</v>
      </c>
      <c r="D17" s="45" t="s">
        <v>30</v>
      </c>
      <c r="E17" s="45" t="s">
        <v>31</v>
      </c>
      <c r="F17" s="45" t="s">
        <v>29</v>
      </c>
      <c r="G17" s="45" t="s">
        <v>29</v>
      </c>
      <c r="H17" s="45" t="s">
        <v>32</v>
      </c>
      <c r="I17" s="45" t="s">
        <v>32</v>
      </c>
      <c r="J17" s="45" t="s">
        <v>30</v>
      </c>
      <c r="K17" s="45" t="s">
        <v>31</v>
      </c>
      <c r="L17" s="45" t="s">
        <v>29</v>
      </c>
      <c r="N17" s="59"/>
    </row>
    <row r="18" spans="1:14" ht="13.5" thickBot="1" x14ac:dyDescent="0.25">
      <c r="B18" s="80"/>
      <c r="C18" s="86"/>
      <c r="D18" s="86"/>
      <c r="E18" s="86">
        <v>2000</v>
      </c>
      <c r="F18" s="86"/>
      <c r="G18" s="86"/>
      <c r="H18" s="86"/>
      <c r="I18" s="86"/>
      <c r="J18" s="86"/>
      <c r="K18" s="86"/>
      <c r="L18" s="86"/>
      <c r="N18" s="153" t="s">
        <v>33</v>
      </c>
    </row>
    <row r="19" spans="1:14" x14ac:dyDescent="0.2">
      <c r="B19" s="80"/>
      <c r="C19" s="57"/>
      <c r="D19" s="57"/>
      <c r="E19" s="57"/>
      <c r="F19" s="57"/>
      <c r="G19" s="57"/>
      <c r="H19" s="57"/>
      <c r="I19" s="57"/>
      <c r="J19" s="57"/>
      <c r="K19" s="57"/>
      <c r="L19" s="57"/>
      <c r="N19" s="153"/>
    </row>
    <row r="20" spans="1:14" x14ac:dyDescent="0.2">
      <c r="A20" s="83" t="s">
        <v>34</v>
      </c>
      <c r="D20" s="54" t="s">
        <v>35</v>
      </c>
      <c r="E20" s="60">
        <f>(C18*0.8)+(D18*D54*D55)+(E18*E54*E55)+(F18*F54*F55)+(G18*G54*G55)+(H18*H54*H55)+(I18*I54*I55)+(J18*J54*J55)+(K18*K54*K55)+(L18*L54*L55)</f>
        <v>20200</v>
      </c>
      <c r="F20" s="42" t="s">
        <v>36</v>
      </c>
      <c r="H20" s="54" t="s">
        <v>37</v>
      </c>
      <c r="K20" s="60">
        <f>E20/D13</f>
        <v>112.22222222222223</v>
      </c>
      <c r="L20" s="59" t="s">
        <v>38</v>
      </c>
      <c r="N20" s="133"/>
    </row>
    <row r="21" spans="1:14" x14ac:dyDescent="0.2">
      <c r="A21" s="61"/>
      <c r="D21" s="54"/>
      <c r="E21" s="62"/>
      <c r="F21" s="42"/>
      <c r="H21" s="54" t="s">
        <v>39</v>
      </c>
      <c r="K21" s="62">
        <f>K20*3.6</f>
        <v>404.00000000000006</v>
      </c>
      <c r="L21" s="59" t="s">
        <v>40</v>
      </c>
      <c r="N21" s="133"/>
    </row>
    <row r="22" spans="1:14" ht="15.75" x14ac:dyDescent="0.25">
      <c r="A22" s="158" t="s">
        <v>41</v>
      </c>
      <c r="B22" s="158"/>
      <c r="C22" s="158"/>
      <c r="D22" s="158"/>
      <c r="E22" s="158"/>
      <c r="F22" s="158"/>
      <c r="G22" s="158"/>
      <c r="H22" s="158"/>
      <c r="I22" s="158"/>
      <c r="J22" s="158"/>
      <c r="K22" s="158"/>
      <c r="L22" s="158"/>
      <c r="N22" s="133" t="s">
        <v>226</v>
      </c>
    </row>
    <row r="23" spans="1:14" x14ac:dyDescent="0.2">
      <c r="A23" s="154" t="s">
        <v>43</v>
      </c>
      <c r="B23" s="154"/>
      <c r="C23" s="154"/>
      <c r="D23" s="154"/>
      <c r="E23" s="154"/>
      <c r="F23" s="154"/>
      <c r="G23" s="154"/>
      <c r="H23" s="154"/>
      <c r="I23" s="154"/>
      <c r="J23" s="154"/>
      <c r="K23" s="154"/>
      <c r="L23" s="154"/>
      <c r="N23" s="133"/>
    </row>
    <row r="24" spans="1:14" x14ac:dyDescent="0.2">
      <c r="A24" s="123"/>
      <c r="N24" s="133"/>
    </row>
    <row r="25" spans="1:14" x14ac:dyDescent="0.2">
      <c r="A25" s="59"/>
      <c r="B25" s="133"/>
      <c r="C25" s="133">
        <f t="shared" ref="C25" si="0">C109</f>
        <v>0</v>
      </c>
      <c r="D25" s="108" t="s">
        <v>18</v>
      </c>
      <c r="E25" s="108" t="s">
        <v>19</v>
      </c>
      <c r="F25" s="108" t="s">
        <v>20</v>
      </c>
      <c r="G25" s="108" t="s">
        <v>21</v>
      </c>
      <c r="H25" s="108" t="s">
        <v>22</v>
      </c>
      <c r="I25" s="108" t="s">
        <v>23</v>
      </c>
      <c r="J25" s="108" t="s">
        <v>24</v>
      </c>
      <c r="K25" s="108" t="s">
        <v>25</v>
      </c>
      <c r="L25" s="108" t="s">
        <v>26</v>
      </c>
      <c r="N25" s="152" t="s">
        <v>44</v>
      </c>
    </row>
    <row r="26" spans="1:14" x14ac:dyDescent="0.2">
      <c r="A26" s="59" t="str">
        <f>A110</f>
        <v>Kapitalkosten</v>
      </c>
      <c r="B26" s="133"/>
      <c r="C26" s="133" t="s">
        <v>45</v>
      </c>
      <c r="D26" s="109">
        <f t="shared" ref="D26:K26" si="1">D110</f>
        <v>1621.0981591323032</v>
      </c>
      <c r="E26" s="109">
        <f t="shared" si="1"/>
        <v>1303.5248142641146</v>
      </c>
      <c r="F26" s="109">
        <f t="shared" si="1"/>
        <v>2073.4319105927852</v>
      </c>
      <c r="G26" s="109">
        <f t="shared" si="1"/>
        <v>1759.2757709282109</v>
      </c>
      <c r="H26" s="109">
        <f t="shared" si="1"/>
        <v>1815.2925220313709</v>
      </c>
      <c r="I26" s="109">
        <f t="shared" si="1"/>
        <v>2317.0029324962234</v>
      </c>
      <c r="J26" s="109">
        <f t="shared" si="1"/>
        <v>2061.0779972318674</v>
      </c>
      <c r="K26" s="109">
        <f t="shared" si="1"/>
        <v>1624.2877805220724</v>
      </c>
      <c r="L26" s="109">
        <f>IF(ISERROR(L110),0,L110)</f>
        <v>0</v>
      </c>
      <c r="N26" s="152"/>
    </row>
    <row r="27" spans="1:14" x14ac:dyDescent="0.2">
      <c r="A27" s="59" t="str">
        <f>A111</f>
        <v>Energiekosten</v>
      </c>
      <c r="B27" s="133"/>
      <c r="C27" s="133" t="s">
        <v>45</v>
      </c>
      <c r="D27" s="109">
        <f t="shared" ref="D27:K27" si="2">D111</f>
        <v>2448.4848484848485</v>
      </c>
      <c r="E27" s="109">
        <f t="shared" si="2"/>
        <v>3600</v>
      </c>
      <c r="F27" s="109">
        <f t="shared" si="2"/>
        <v>1692.2135294117647</v>
      </c>
      <c r="G27" s="109">
        <f t="shared" si="2"/>
        <v>2175.9715384615383</v>
      </c>
      <c r="H27" s="109">
        <f t="shared" si="2"/>
        <v>3079.268292682927</v>
      </c>
      <c r="I27" s="109">
        <f t="shared" si="2"/>
        <v>2463.414634146342</v>
      </c>
      <c r="J27" s="109">
        <f t="shared" si="2"/>
        <v>2102.4489795918366</v>
      </c>
      <c r="K27" s="109">
        <f t="shared" si="2"/>
        <v>3077.9999999999995</v>
      </c>
      <c r="L27" s="109">
        <f>IF(ISERROR(L111),0,L111)</f>
        <v>0</v>
      </c>
      <c r="N27" s="133"/>
    </row>
    <row r="28" spans="1:14" x14ac:dyDescent="0.2">
      <c r="A28" s="59" t="str">
        <f>A112</f>
        <v>Übrige Heizkosten</v>
      </c>
      <c r="B28" s="133"/>
      <c r="C28" s="133" t="s">
        <v>45</v>
      </c>
      <c r="D28" s="109">
        <f t="shared" ref="D28:K28" si="3">D112</f>
        <v>768.969696969697</v>
      </c>
      <c r="E28" s="109">
        <f t="shared" si="3"/>
        <v>230</v>
      </c>
      <c r="F28" s="109">
        <f t="shared" si="3"/>
        <v>200</v>
      </c>
      <c r="G28" s="109">
        <f t="shared" si="3"/>
        <v>250</v>
      </c>
      <c r="H28" s="109">
        <f t="shared" si="3"/>
        <v>751.58536585365857</v>
      </c>
      <c r="I28" s="109">
        <f t="shared" si="3"/>
        <v>739.26829268292681</v>
      </c>
      <c r="J28" s="109">
        <f t="shared" si="3"/>
        <v>762.04897959183677</v>
      </c>
      <c r="K28" s="109">
        <f t="shared" si="3"/>
        <v>367</v>
      </c>
      <c r="L28" s="109">
        <f>IF(ISERROR(L112),0,L112)</f>
        <v>0</v>
      </c>
      <c r="N28" s="133"/>
    </row>
    <row r="29" spans="1:14" x14ac:dyDescent="0.2">
      <c r="A29" s="59" t="str">
        <f>A121</f>
        <v>Anstieg CO2-Abgabe über 96 Fr./t</v>
      </c>
      <c r="B29" s="133"/>
      <c r="C29" s="133" t="s">
        <v>45</v>
      </c>
      <c r="D29" s="109">
        <f t="shared" ref="D29:K29" si="4">D121</f>
        <v>652.27636363636361</v>
      </c>
      <c r="E29" s="109">
        <f t="shared" si="4"/>
        <v>488.67839999999995</v>
      </c>
      <c r="F29" s="109">
        <f t="shared" si="4"/>
        <v>0</v>
      </c>
      <c r="G29" s="109">
        <f t="shared" si="4"/>
        <v>0</v>
      </c>
      <c r="H29" s="109">
        <f t="shared" si="4"/>
        <v>0</v>
      </c>
      <c r="I29" s="109">
        <f t="shared" si="4"/>
        <v>0</v>
      </c>
      <c r="J29" s="109">
        <f t="shared" si="4"/>
        <v>560.0924081632653</v>
      </c>
      <c r="K29" s="109">
        <f t="shared" si="4"/>
        <v>415.37663999999995</v>
      </c>
      <c r="L29" s="109">
        <f>IF(ISERROR(L121),0,L121)</f>
        <v>0</v>
      </c>
      <c r="N29" s="133"/>
    </row>
    <row r="30" spans="1:14" x14ac:dyDescent="0.2">
      <c r="A30" s="59" t="str">
        <f>A122</f>
        <v>Externe Kosten: KEPZ pro kWh</v>
      </c>
      <c r="B30" s="133"/>
      <c r="C30" s="133" t="s">
        <v>45</v>
      </c>
      <c r="D30" s="109">
        <f>D123</f>
        <v>918.18181818181813</v>
      </c>
      <c r="E30" s="109">
        <f t="shared" ref="E30:L30" si="5">E123</f>
        <v>606</v>
      </c>
      <c r="F30" s="109">
        <f t="shared" si="5"/>
        <v>297.05882352941177</v>
      </c>
      <c r="G30" s="109">
        <f t="shared" si="5"/>
        <v>388.46153846153845</v>
      </c>
      <c r="H30" s="109">
        <f t="shared" si="5"/>
        <v>369.51219512195121</v>
      </c>
      <c r="I30" s="109">
        <f t="shared" si="5"/>
        <v>295.60975609756105</v>
      </c>
      <c r="J30" s="109">
        <f t="shared" si="5"/>
        <v>788.41836734693879</v>
      </c>
      <c r="K30" s="109">
        <f t="shared" si="5"/>
        <v>515.1</v>
      </c>
      <c r="L30" s="109">
        <f t="shared" si="5"/>
        <v>363.6</v>
      </c>
      <c r="N30" s="133"/>
    </row>
    <row r="31" spans="1:14" x14ac:dyDescent="0.2">
      <c r="A31" s="120" t="str">
        <f>A125</f>
        <v>Jahreskosten mit externen Kosten</v>
      </c>
      <c r="B31" s="106"/>
      <c r="C31" s="106" t="s">
        <v>45</v>
      </c>
      <c r="D31" s="110">
        <f t="shared" ref="D31:K31" si="6">D125</f>
        <v>6409.0108864050299</v>
      </c>
      <c r="E31" s="110">
        <f t="shared" si="6"/>
        <v>6228.2032142641146</v>
      </c>
      <c r="F31" s="110">
        <f t="shared" si="6"/>
        <v>4262.7042635339621</v>
      </c>
      <c r="G31" s="110">
        <f t="shared" si="6"/>
        <v>4573.7088478512878</v>
      </c>
      <c r="H31" s="110">
        <f t="shared" si="6"/>
        <v>6015.6583756899072</v>
      </c>
      <c r="I31" s="110">
        <f t="shared" si="6"/>
        <v>5815.2956154230533</v>
      </c>
      <c r="J31" s="110">
        <f t="shared" si="6"/>
        <v>6274.086731925745</v>
      </c>
      <c r="K31" s="110">
        <f t="shared" si="6"/>
        <v>5999.7644205220731</v>
      </c>
      <c r="L31" s="110">
        <f>IF(ISERROR(L125),0,L125)</f>
        <v>363.6</v>
      </c>
      <c r="N31" s="133"/>
    </row>
    <row r="32" spans="1:14" x14ac:dyDescent="0.2">
      <c r="A32" s="126"/>
      <c r="B32" s="72"/>
      <c r="C32" s="72"/>
      <c r="D32" s="111"/>
      <c r="E32" s="111"/>
      <c r="F32" s="111"/>
      <c r="G32" s="111"/>
      <c r="H32" s="111"/>
      <c r="I32" s="111"/>
      <c r="J32" s="111"/>
      <c r="K32" s="111"/>
      <c r="L32" s="111"/>
      <c r="N32" s="133"/>
    </row>
    <row r="33" spans="1:14" x14ac:dyDescent="0.2">
      <c r="A33" s="120" t="str">
        <f t="shared" ref="A33:K33" si="7">A127</f>
        <v>Wärmepreis mit externen Kosten</v>
      </c>
      <c r="B33" s="72"/>
      <c r="C33" s="106" t="str">
        <f t="shared" si="7"/>
        <v>Rp/kWh</v>
      </c>
      <c r="D33" s="110">
        <f t="shared" si="7"/>
        <v>31.727776665371433</v>
      </c>
      <c r="E33" s="110">
        <f t="shared" si="7"/>
        <v>30.832689179525318</v>
      </c>
      <c r="F33" s="110">
        <f t="shared" si="7"/>
        <v>21.102496354128526</v>
      </c>
      <c r="G33" s="110">
        <f t="shared" si="7"/>
        <v>22.642123009164791</v>
      </c>
      <c r="H33" s="110">
        <f t="shared" si="7"/>
        <v>29.780487008365874</v>
      </c>
      <c r="I33" s="110">
        <f t="shared" si="7"/>
        <v>28.788592155559673</v>
      </c>
      <c r="J33" s="110">
        <f t="shared" si="7"/>
        <v>31.059835306563095</v>
      </c>
      <c r="K33" s="110">
        <f t="shared" si="7"/>
        <v>29.701804061990462</v>
      </c>
      <c r="L33" s="110">
        <f>IF(ISERROR(L127),0,L127)</f>
        <v>1.8000000000000003</v>
      </c>
      <c r="N33" s="133"/>
    </row>
    <row r="34" spans="1:14" ht="285" customHeight="1" x14ac:dyDescent="0.2">
      <c r="A34" s="159"/>
      <c r="B34" s="159"/>
      <c r="C34" s="159"/>
      <c r="D34" s="159"/>
      <c r="E34" s="159"/>
      <c r="F34" s="159"/>
      <c r="G34" s="159"/>
      <c r="H34" s="159"/>
      <c r="I34" s="159"/>
      <c r="J34" s="159"/>
      <c r="K34" s="159"/>
      <c r="L34" s="159"/>
      <c r="M34" s="159"/>
      <c r="N34" s="133"/>
    </row>
    <row r="35" spans="1:14" ht="12.75" customHeight="1" x14ac:dyDescent="0.2">
      <c r="A35" s="153" t="s">
        <v>44</v>
      </c>
      <c r="B35" s="153"/>
      <c r="C35" s="153"/>
      <c r="D35" s="153"/>
      <c r="E35" s="153"/>
      <c r="F35" s="153"/>
      <c r="G35" s="153"/>
      <c r="H35" s="153"/>
      <c r="I35" s="153"/>
      <c r="J35" s="153"/>
      <c r="K35" s="153"/>
      <c r="L35" s="153"/>
      <c r="M35" s="112"/>
      <c r="N35" s="133"/>
    </row>
    <row r="36" spans="1:14" x14ac:dyDescent="0.2">
      <c r="A36" s="153"/>
      <c r="B36" s="153"/>
      <c r="C36" s="153"/>
      <c r="D36" s="153"/>
      <c r="E36" s="153"/>
      <c r="F36" s="153"/>
      <c r="G36" s="153"/>
      <c r="H36" s="153"/>
      <c r="I36" s="153"/>
      <c r="J36" s="153"/>
      <c r="K36" s="153"/>
      <c r="L36" s="153"/>
      <c r="M36" s="112"/>
      <c r="N36" s="133"/>
    </row>
    <row r="37" spans="1:14" x14ac:dyDescent="0.2">
      <c r="A37" s="132"/>
      <c r="B37" s="132"/>
      <c r="C37" s="132"/>
      <c r="D37" s="132"/>
      <c r="E37" s="132"/>
      <c r="F37" s="132"/>
      <c r="G37" s="132"/>
      <c r="H37" s="132"/>
      <c r="I37" s="132"/>
      <c r="J37" s="132"/>
      <c r="K37" s="132"/>
      <c r="L37" s="132"/>
      <c r="M37" s="112"/>
      <c r="N37" s="133"/>
    </row>
    <row r="38" spans="1:14" x14ac:dyDescent="0.2">
      <c r="A38" s="127"/>
      <c r="B38" s="113"/>
      <c r="C38" s="113"/>
      <c r="D38" s="113"/>
      <c r="E38" s="113"/>
      <c r="F38" s="113"/>
      <c r="G38" s="113"/>
      <c r="H38" s="113"/>
      <c r="I38" s="113"/>
      <c r="J38" s="113"/>
      <c r="K38" s="113"/>
      <c r="L38" s="113"/>
      <c r="N38" s="133"/>
    </row>
    <row r="39" spans="1:14" ht="15.75" x14ac:dyDescent="0.25">
      <c r="A39" s="158" t="s">
        <v>46</v>
      </c>
      <c r="B39" s="158"/>
      <c r="C39" s="158"/>
      <c r="D39" s="158"/>
      <c r="E39" s="158"/>
      <c r="F39" s="158"/>
      <c r="G39" s="158"/>
      <c r="H39" s="158"/>
      <c r="I39" s="158"/>
      <c r="J39" s="158"/>
      <c r="K39" s="158"/>
      <c r="L39" s="158"/>
      <c r="N39" s="105" t="str">
        <f>N1</f>
        <v>Zusatzinfo / Bemerkungen</v>
      </c>
    </row>
    <row r="40" spans="1:14" x14ac:dyDescent="0.2">
      <c r="A40" s="127"/>
      <c r="B40" s="113"/>
      <c r="C40" s="113"/>
      <c r="D40" s="113"/>
      <c r="E40" s="113"/>
      <c r="F40" s="113"/>
      <c r="G40" s="113"/>
      <c r="H40" s="113"/>
      <c r="I40" s="113"/>
      <c r="J40" s="113"/>
      <c r="K40" s="113"/>
      <c r="L40" s="113"/>
      <c r="N40" s="133"/>
    </row>
    <row r="41" spans="1:14" ht="15.75" x14ac:dyDescent="0.25">
      <c r="A41" s="56"/>
      <c r="B41" s="57"/>
      <c r="C41" s="57"/>
      <c r="D41" s="44"/>
      <c r="E41" s="44"/>
      <c r="F41" s="161" t="s">
        <v>47</v>
      </c>
      <c r="G41" s="161"/>
      <c r="H41" s="162" t="s">
        <v>48</v>
      </c>
      <c r="I41" s="162"/>
      <c r="J41" s="45"/>
      <c r="K41" s="44"/>
      <c r="L41" s="134" t="s">
        <v>49</v>
      </c>
      <c r="N41" s="133"/>
    </row>
    <row r="42" spans="1:14" ht="12.75" customHeight="1" x14ac:dyDescent="0.2">
      <c r="A42" s="147" t="s">
        <v>50</v>
      </c>
      <c r="D42" s="49"/>
      <c r="E42" s="49"/>
      <c r="F42" s="148" t="s">
        <v>51</v>
      </c>
      <c r="G42" s="148" t="s">
        <v>51</v>
      </c>
      <c r="H42" s="148" t="s">
        <v>52</v>
      </c>
      <c r="I42" s="148" t="s">
        <v>52</v>
      </c>
      <c r="J42" s="149"/>
      <c r="K42" s="54"/>
      <c r="L42" s="148" t="s">
        <v>53</v>
      </c>
      <c r="N42" s="153" t="s">
        <v>54</v>
      </c>
    </row>
    <row r="43" spans="1:14" ht="25.5" x14ac:dyDescent="0.2">
      <c r="D43" s="44" t="str">
        <f>D16</f>
        <v>Ölkessel</v>
      </c>
      <c r="E43" s="44" t="str">
        <f>E16</f>
        <v>Gaskessel</v>
      </c>
      <c r="F43" s="150" t="str">
        <f>F16&amp;" "&amp;F42</f>
        <v>WP Sole Egalmix</v>
      </c>
      <c r="G43" s="150" t="str">
        <f>G16&amp;" "&amp;G42</f>
        <v>WP Luft Egalmix</v>
      </c>
      <c r="H43" s="151" t="str">
        <f>H16&amp;" "&amp;H42</f>
        <v>Pellet mit PF</v>
      </c>
      <c r="I43" s="151" t="str">
        <f>I16&amp;" "&amp;I42</f>
        <v>Pellet/Sonne mit PF</v>
      </c>
      <c r="J43" s="135" t="str">
        <f>J16</f>
        <v>Öl/Sonne</v>
      </c>
      <c r="K43" s="135" t="str">
        <f t="shared" ref="K43:L43" si="8">K16</f>
        <v>Gas/Sonne</v>
      </c>
      <c r="L43" s="135" t="str">
        <f t="shared" si="8"/>
        <v>Fernwärme</v>
      </c>
      <c r="N43" s="154"/>
    </row>
    <row r="44" spans="1:14" x14ac:dyDescent="0.2">
      <c r="A44" s="66" t="s">
        <v>55</v>
      </c>
      <c r="C44" s="54" t="s">
        <v>56</v>
      </c>
      <c r="D44" s="73">
        <f>0.074/1000*3.6*D53*D54</f>
        <v>5.4356363636363634</v>
      </c>
      <c r="E44" s="73">
        <f>0.056/1000*3.6*E53*E54</f>
        <v>4.0723199999999995</v>
      </c>
      <c r="F44" s="74">
        <v>0</v>
      </c>
      <c r="G44" s="74">
        <v>0</v>
      </c>
      <c r="H44" s="75">
        <v>0</v>
      </c>
      <c r="I44" s="76">
        <v>0</v>
      </c>
      <c r="J44" s="73">
        <f>0.074/1000*3.6*J53*J54</f>
        <v>4.6674367346938777</v>
      </c>
      <c r="K44" s="73">
        <f>0.056/1000*3.6*K53*K54</f>
        <v>3.4614719999999997</v>
      </c>
      <c r="L44" s="77">
        <v>0</v>
      </c>
      <c r="N44" s="154"/>
    </row>
    <row r="45" spans="1:14" x14ac:dyDescent="0.2">
      <c r="A45" s="57" t="s">
        <v>57</v>
      </c>
      <c r="C45" s="54" t="s">
        <v>56</v>
      </c>
      <c r="D45" s="73">
        <f>Umweltkennwerte!K6*3.6*E20/1000*1/D55</f>
        <v>6.5635353163636365</v>
      </c>
      <c r="E45" s="73">
        <f>Umweltkennwerte!K7*3.6*E20/1000*(1/0.98)/E55</f>
        <v>5.1251161569795913</v>
      </c>
      <c r="F45" s="73">
        <f>IF(F42=Grafik!B18,Umweltkennwerte!K9*3.6*E20/1000*3.9/F55,IF(F42=Grafik!B19,Umweltkennwerte!K29*3.6*E20/1000*3.9/F55,Grafik!F17))</f>
        <v>1.2726578680094118</v>
      </c>
      <c r="G45" s="73">
        <f>IF(G42=Grafik!B18,Umweltkennwerte!K8*3.6*E20/1000*2.8/G55,IF(G42=Grafik!B19,Umweltkennwerte!K23*3.6*E20/1000*2.8/G55,Grafik!F17))</f>
        <v>1.651157933427692</v>
      </c>
      <c r="H45" s="73">
        <f>IF(H42=Grafik!C18,Umweltkennwerte!K10*3.6*E20/1000*(1/1.18)/H55,Umweltkennwerte!K11*3.6*E20/1000*(1/1.18)/H55)</f>
        <v>0.99257215981810676</v>
      </c>
      <c r="I45" s="73">
        <f>IF(I42=Grafik!C18,Umweltkennwerte!K10,Umweltkennwerte!K11)*3.6*E20/1000*(1-I57)*(1/1.18)/I55+Umweltkennwerte!K12*3.6*E20/1000*(I57)</f>
        <v>0.9506887540944855</v>
      </c>
      <c r="J45" s="73">
        <f>Umweltkennwerte!K6*3.6*E20/1000*(1-J57)*1/J55+Umweltkennwerte!K12*3.6*E20/1000*(J57)</f>
        <v>5.7534069112310195</v>
      </c>
      <c r="K45" s="73">
        <f>Umweltkennwerte!K7*3.6*E20/1000*(1-K57)*(1/0.98)/K55+Umweltkennwerte!K12*3.6*E20/1000*(K57)</f>
        <v>4.4738220031126517</v>
      </c>
      <c r="L45" s="73">
        <f>IF(L42=Grafik!D18,Umweltkennwerte!K14*3.6*E20/1000*1/L55,IF(L42=Grafik!D19,Umweltkennwerte!K13*3.6*E20/1000*1/L55,IF(L42=Grafik!D20,Umweltkennwerte!K15*3.6*E20/1000*1/L55,Grafik!F17)))</f>
        <v>2.1861920498399998</v>
      </c>
      <c r="N45" s="154"/>
    </row>
    <row r="46" spans="1:14" x14ac:dyDescent="0.2">
      <c r="A46" s="67" t="s">
        <v>58</v>
      </c>
      <c r="C46" s="54" t="s">
        <v>59</v>
      </c>
      <c r="D46" s="73">
        <f>Umweltkennwerte!H6*3.6*E20/1000000*1/D55</f>
        <v>4.9880452043636359</v>
      </c>
      <c r="E46" s="73">
        <f>Umweltkennwerte!H7*3.6*E20/1000000*(1/0.98)/E86</f>
        <v>3.112387134612244</v>
      </c>
      <c r="F46" s="73">
        <f>IF(F42=Grafik!B18,Umweltkennwerte!H9*3.6*E20/1000000*3.9/F55,IF(F42=Grafik!B19,Umweltkennwerte!H29*3.6*E20/1000000*3.9/F55,Grafik!F17))</f>
        <v>2.7399644146588233</v>
      </c>
      <c r="G46" s="73">
        <f>IF(G42=Grafik!B18,Umweltkennwerte!H8*3.6*E20/1000000*2.8/G55,IF(G42=Grafik!B19,Umweltkennwerte!H23*3.6*E20/1000000*2.8/G55,Grafik!F17))</f>
        <v>3.4987340412553847</v>
      </c>
      <c r="H46" s="73">
        <f>IF(H42=Grafik!C18,Umweltkennwerte!H10*3.6*E20/1000000*(1/1.18)/H55,Umweltkennwerte!H11*3.6*E20/1000000*(1/1.18)/H55)</f>
        <v>2.1656328644894587</v>
      </c>
      <c r="I46" s="73">
        <f>IF(I42=Grafik!C18,Umweltkennwerte!H10,Umweltkennwerte!H11)*3.6*E20/1000000*(1-I57)*(1/1.18)/I55+Umweltkennwerte!H12*3.6*E20/1000000*(I57)</f>
        <v>2.1155790350315673</v>
      </c>
      <c r="J46" s="73">
        <f>Umweltkennwerte!H6*3.6*E20/1000000*(1-J57)*1/J55+Umweltkennwerte!H12*3.6*E20/1000000*(J57)</f>
        <v>4.5704066386738766</v>
      </c>
      <c r="K46" s="73">
        <f>Umweltkennwerte!H7*3.6*E20/1000000*(1-K57)*(1/0.98)/K55+Umweltkennwerte!H12*3.6*E20/1000000*(K57)</f>
        <v>2.9328336220004076</v>
      </c>
      <c r="L46" s="73">
        <f>IF(L42=Grafik!D18,Umweltkennwerte!H14*3.6*E20/1000000*1/L55,IF(L42=Grafik!D19,Umweltkennwerte!H13*3.6*E20/1000000*1/L55,IF(L42=Grafik!D20,Umweltkennwerte!H15*3.6*E20/1000000*1/L55,Grafik!F17)))</f>
        <v>1.836763578</v>
      </c>
      <c r="N46" s="154"/>
    </row>
    <row r="47" spans="1:14" x14ac:dyDescent="0.2">
      <c r="D47" s="49"/>
      <c r="E47" s="49"/>
      <c r="F47" s="49"/>
      <c r="G47" s="49"/>
      <c r="H47" s="49"/>
      <c r="I47" s="49"/>
      <c r="J47" s="49"/>
      <c r="K47" s="49"/>
      <c r="L47" s="49"/>
      <c r="N47" s="154"/>
    </row>
    <row r="48" spans="1:14" ht="303" customHeight="1" x14ac:dyDescent="0.2">
      <c r="A48" s="159"/>
      <c r="B48" s="159"/>
      <c r="C48" s="159"/>
      <c r="D48" s="159"/>
      <c r="E48" s="159"/>
      <c r="F48" s="159"/>
      <c r="G48" s="159"/>
      <c r="H48" s="159"/>
      <c r="I48" s="159"/>
      <c r="J48" s="159"/>
      <c r="K48" s="159"/>
      <c r="L48" s="159"/>
      <c r="M48" s="159"/>
      <c r="N48" s="133"/>
    </row>
    <row r="49" spans="1:15" x14ac:dyDescent="0.2">
      <c r="A49" s="61"/>
      <c r="D49" s="54"/>
      <c r="E49" s="62"/>
      <c r="F49" s="42"/>
      <c r="H49" s="54"/>
      <c r="K49" s="62"/>
      <c r="L49" s="59"/>
      <c r="N49" s="133"/>
    </row>
    <row r="50" spans="1:15" s="63" customFormat="1" ht="15.75" x14ac:dyDescent="0.25">
      <c r="A50" s="158" t="s">
        <v>60</v>
      </c>
      <c r="B50" s="158"/>
      <c r="C50" s="158"/>
      <c r="D50" s="158"/>
      <c r="E50" s="158"/>
      <c r="F50" s="158"/>
      <c r="G50" s="158"/>
      <c r="H50" s="158"/>
      <c r="I50" s="158"/>
      <c r="J50" s="158"/>
      <c r="K50" s="158"/>
      <c r="L50" s="158"/>
      <c r="N50" s="114"/>
    </row>
    <row r="51" spans="1:15" s="63" customFormat="1" ht="15.75" x14ac:dyDescent="0.25">
      <c r="A51" s="81"/>
      <c r="B51" s="81"/>
      <c r="C51" s="81"/>
      <c r="D51" s="81"/>
      <c r="E51" s="81"/>
      <c r="F51" s="81"/>
      <c r="G51" s="81"/>
      <c r="H51" s="81"/>
      <c r="I51" s="81"/>
      <c r="J51" s="81"/>
      <c r="K51" s="81"/>
      <c r="L51" s="81"/>
      <c r="N51" s="114"/>
    </row>
    <row r="52" spans="1:15" x14ac:dyDescent="0.2">
      <c r="A52" s="78"/>
      <c r="B52" s="42"/>
      <c r="C52" s="42"/>
      <c r="D52" s="45" t="str">
        <f>D16</f>
        <v>Ölkessel</v>
      </c>
      <c r="E52" s="45" t="str">
        <f t="shared" ref="E52:L52" si="9">E16</f>
        <v>Gaskessel</v>
      </c>
      <c r="F52" s="45" t="str">
        <f t="shared" si="9"/>
        <v>WP Sole</v>
      </c>
      <c r="G52" s="45" t="str">
        <f t="shared" si="9"/>
        <v>WP Luft</v>
      </c>
      <c r="H52" s="45" t="str">
        <f t="shared" si="9"/>
        <v>Pellet</v>
      </c>
      <c r="I52" s="45" t="str">
        <f t="shared" si="9"/>
        <v>Pellet/Sonne</v>
      </c>
      <c r="J52" s="45" t="str">
        <f t="shared" si="9"/>
        <v>Öl/Sonne</v>
      </c>
      <c r="K52" s="45" t="str">
        <f t="shared" si="9"/>
        <v>Gas/Sonne</v>
      </c>
      <c r="L52" s="45" t="str">
        <f t="shared" si="9"/>
        <v>Fernwärme</v>
      </c>
      <c r="N52" s="133"/>
    </row>
    <row r="53" spans="1:15" x14ac:dyDescent="0.2">
      <c r="A53" s="66" t="s">
        <v>61</v>
      </c>
      <c r="B53" s="57"/>
      <c r="C53" s="59"/>
      <c r="D53" s="43">
        <f t="shared" ref="D53:L53" si="10">$E$20/D54/D55*(1-D57)</f>
        <v>2040.4040404040404</v>
      </c>
      <c r="E53" s="43">
        <f t="shared" si="10"/>
        <v>2000</v>
      </c>
      <c r="F53" s="43">
        <f t="shared" si="10"/>
        <v>5941.1764705882351</v>
      </c>
      <c r="G53" s="43">
        <f t="shared" si="10"/>
        <v>7769.2307692307686</v>
      </c>
      <c r="H53" s="43">
        <f t="shared" si="10"/>
        <v>4.7373358348968111</v>
      </c>
      <c r="I53" s="43">
        <f t="shared" si="10"/>
        <v>3.7898686679174491</v>
      </c>
      <c r="J53" s="43">
        <f t="shared" si="10"/>
        <v>1752.0408163265306</v>
      </c>
      <c r="K53" s="43">
        <f t="shared" si="10"/>
        <v>1700</v>
      </c>
      <c r="L53" s="43">
        <f t="shared" si="10"/>
        <v>20200</v>
      </c>
      <c r="N53" s="59" t="s">
        <v>233</v>
      </c>
    </row>
    <row r="54" spans="1:15" x14ac:dyDescent="0.2">
      <c r="A54" s="66" t="s">
        <v>63</v>
      </c>
      <c r="B54" s="57"/>
      <c r="C54" s="42" t="s">
        <v>64</v>
      </c>
      <c r="D54" s="84">
        <v>10</v>
      </c>
      <c r="E54" s="84">
        <v>10.1</v>
      </c>
      <c r="F54" s="84">
        <v>1</v>
      </c>
      <c r="G54" s="84">
        <v>1</v>
      </c>
      <c r="H54" s="84">
        <v>5200</v>
      </c>
      <c r="I54" s="84">
        <v>5200</v>
      </c>
      <c r="J54" s="84">
        <v>10</v>
      </c>
      <c r="K54" s="84">
        <v>10.1</v>
      </c>
      <c r="L54" s="84">
        <v>1</v>
      </c>
      <c r="N54" s="133"/>
    </row>
    <row r="55" spans="1:15" x14ac:dyDescent="0.2">
      <c r="A55" s="66" t="s">
        <v>65</v>
      </c>
      <c r="B55" s="57"/>
      <c r="C55" s="59" t="s">
        <v>66</v>
      </c>
      <c r="D55" s="85">
        <v>0.99</v>
      </c>
      <c r="E55" s="85">
        <v>1</v>
      </c>
      <c r="F55" s="85">
        <v>3.4</v>
      </c>
      <c r="G55" s="85">
        <v>2.6</v>
      </c>
      <c r="H55" s="85">
        <v>0.82</v>
      </c>
      <c r="I55" s="85">
        <v>0.82</v>
      </c>
      <c r="J55" s="85">
        <v>0.98</v>
      </c>
      <c r="K55" s="85">
        <v>1</v>
      </c>
      <c r="L55" s="85">
        <v>1</v>
      </c>
      <c r="N55" s="153" t="s">
        <v>67</v>
      </c>
    </row>
    <row r="56" spans="1:15" x14ac:dyDescent="0.2">
      <c r="A56" s="57" t="s">
        <v>68</v>
      </c>
      <c r="B56" s="57"/>
      <c r="C56" s="59" t="s">
        <v>62</v>
      </c>
      <c r="D56" s="84">
        <f>0.013*E20/D55</f>
        <v>265.25252525252523</v>
      </c>
      <c r="E56" s="84">
        <f>0.01*E20/E55</f>
        <v>202</v>
      </c>
      <c r="F56" s="84">
        <v>0</v>
      </c>
      <c r="G56" s="84">
        <v>0</v>
      </c>
      <c r="H56" s="84">
        <f>0.015*E20/H55</f>
        <v>369.51219512195127</v>
      </c>
      <c r="I56" s="84">
        <f>0.015*E20/I55*(1-I57)+100</f>
        <v>395.60975609756105</v>
      </c>
      <c r="J56" s="84">
        <f>0.013*E20/J55*(1-J57)+100</f>
        <v>327.76530612244892</v>
      </c>
      <c r="K56" s="84">
        <f>0.01*E20/K55*(1-K57)+100</f>
        <v>271.7</v>
      </c>
      <c r="L56" s="84"/>
      <c r="N56" s="153"/>
    </row>
    <row r="57" spans="1:15" x14ac:dyDescent="0.2">
      <c r="A57" s="57" t="s">
        <v>69</v>
      </c>
      <c r="B57" s="57"/>
      <c r="C57" s="59" t="s">
        <v>70</v>
      </c>
      <c r="D57" s="82">
        <v>0</v>
      </c>
      <c r="E57" s="82">
        <v>0</v>
      </c>
      <c r="F57" s="82">
        <v>0</v>
      </c>
      <c r="G57" s="82">
        <v>0</v>
      </c>
      <c r="H57" s="82">
        <v>0</v>
      </c>
      <c r="I57" s="82">
        <v>0.2</v>
      </c>
      <c r="J57" s="82">
        <v>0.15</v>
      </c>
      <c r="K57" s="82">
        <v>0.15</v>
      </c>
      <c r="L57" s="82">
        <v>0</v>
      </c>
      <c r="N57" s="133"/>
    </row>
    <row r="58" spans="1:15" x14ac:dyDescent="0.2">
      <c r="A58" s="57" t="s">
        <v>71</v>
      </c>
      <c r="B58" s="57"/>
      <c r="C58" s="59" t="s">
        <v>31</v>
      </c>
      <c r="D58" s="50">
        <v>10</v>
      </c>
      <c r="E58" s="50">
        <v>2</v>
      </c>
      <c r="F58" s="50">
        <v>2</v>
      </c>
      <c r="G58" s="50">
        <v>6</v>
      </c>
      <c r="H58" s="50">
        <v>10</v>
      </c>
      <c r="I58" s="50">
        <v>10</v>
      </c>
      <c r="J58" s="50">
        <v>10</v>
      </c>
      <c r="K58" s="50">
        <v>3</v>
      </c>
      <c r="L58" s="50">
        <v>3</v>
      </c>
      <c r="N58" s="106"/>
    </row>
    <row r="59" spans="1:15" ht="12.75" customHeight="1" x14ac:dyDescent="0.2">
      <c r="D59" s="115"/>
      <c r="E59" s="115"/>
      <c r="F59" s="115"/>
      <c r="G59" s="115"/>
      <c r="H59" s="115"/>
      <c r="I59" s="115"/>
      <c r="J59" s="115"/>
      <c r="K59" s="115"/>
      <c r="L59" s="115"/>
      <c r="N59" s="133"/>
    </row>
    <row r="60" spans="1:15" ht="13.15" customHeight="1" x14ac:dyDescent="0.25">
      <c r="A60" s="56" t="s">
        <v>72</v>
      </c>
      <c r="B60" s="54"/>
      <c r="C60" s="54"/>
      <c r="D60" s="134" t="str">
        <f>D16</f>
        <v>Ölkessel</v>
      </c>
      <c r="E60" s="134" t="str">
        <f t="shared" ref="E60:L60" si="11">E16</f>
        <v>Gaskessel</v>
      </c>
      <c r="F60" s="134" t="str">
        <f t="shared" si="11"/>
        <v>WP Sole</v>
      </c>
      <c r="G60" s="134" t="str">
        <f t="shared" si="11"/>
        <v>WP Luft</v>
      </c>
      <c r="H60" s="134" t="str">
        <f t="shared" si="11"/>
        <v>Pellet</v>
      </c>
      <c r="I60" s="134" t="str">
        <f t="shared" si="11"/>
        <v>Pellet/Sonne</v>
      </c>
      <c r="J60" s="134" t="str">
        <f t="shared" si="11"/>
        <v>Öl/Sonne</v>
      </c>
      <c r="K60" s="134" t="str">
        <f t="shared" si="11"/>
        <v>Gas/Sonne</v>
      </c>
      <c r="L60" s="136" t="str">
        <f t="shared" si="11"/>
        <v>Fernwärme</v>
      </c>
      <c r="N60" s="153" t="s">
        <v>73</v>
      </c>
    </row>
    <row r="61" spans="1:15" s="64" customFormat="1" x14ac:dyDescent="0.2">
      <c r="A61" s="128"/>
      <c r="C61" s="46" t="s">
        <v>74</v>
      </c>
      <c r="D61" s="46" t="s">
        <v>75</v>
      </c>
      <c r="E61" s="46" t="s">
        <v>75</v>
      </c>
      <c r="F61" s="46" t="s">
        <v>75</v>
      </c>
      <c r="G61" s="46" t="s">
        <v>75</v>
      </c>
      <c r="H61" s="46" t="s">
        <v>75</v>
      </c>
      <c r="I61" s="46" t="s">
        <v>75</v>
      </c>
      <c r="J61" s="46" t="s">
        <v>75</v>
      </c>
      <c r="K61" s="58" t="s">
        <v>76</v>
      </c>
      <c r="L61" s="58" t="s">
        <v>76</v>
      </c>
      <c r="M61" s="51"/>
      <c r="N61" s="153"/>
      <c r="O61" s="51"/>
    </row>
    <row r="62" spans="1:15" s="64" customFormat="1" x14ac:dyDescent="0.2">
      <c r="A62" s="66" t="s">
        <v>77</v>
      </c>
      <c r="C62" s="50">
        <v>30</v>
      </c>
      <c r="D62" s="50">
        <v>3000</v>
      </c>
      <c r="E62" s="50"/>
      <c r="F62" s="50"/>
      <c r="G62" s="50"/>
      <c r="H62" s="50">
        <v>3000</v>
      </c>
      <c r="I62" s="50">
        <v>3000</v>
      </c>
      <c r="J62" s="50">
        <v>3000</v>
      </c>
      <c r="K62" s="50"/>
      <c r="L62" s="50"/>
      <c r="M62" s="51"/>
      <c r="N62" s="133"/>
      <c r="O62" s="51"/>
    </row>
    <row r="63" spans="1:15" s="64" customFormat="1" x14ac:dyDescent="0.2">
      <c r="A63" s="66" t="s">
        <v>78</v>
      </c>
      <c r="C63" s="50">
        <v>50</v>
      </c>
      <c r="D63" s="50"/>
      <c r="E63" s="50"/>
      <c r="F63" s="50"/>
      <c r="G63" s="50"/>
      <c r="H63" s="50"/>
      <c r="I63" s="50"/>
      <c r="J63" s="50"/>
      <c r="K63" s="50">
        <v>4500</v>
      </c>
      <c r="L63" s="50"/>
      <c r="M63" s="51"/>
      <c r="O63" s="51"/>
    </row>
    <row r="64" spans="1:15" s="64" customFormat="1" x14ac:dyDescent="0.2">
      <c r="A64" s="66" t="s">
        <v>79</v>
      </c>
      <c r="C64" s="50">
        <v>25</v>
      </c>
      <c r="D64" s="50"/>
      <c r="E64" s="50"/>
      <c r="F64" s="50"/>
      <c r="G64" s="50"/>
      <c r="H64" s="50"/>
      <c r="I64" s="50"/>
      <c r="J64" s="50"/>
      <c r="K64" s="50"/>
      <c r="L64" s="50"/>
      <c r="M64" s="51"/>
      <c r="N64" s="133" t="s">
        <v>80</v>
      </c>
      <c r="O64" s="51"/>
    </row>
    <row r="65" spans="1:15" s="64" customFormat="1" x14ac:dyDescent="0.2">
      <c r="A65" s="66" t="s">
        <v>81</v>
      </c>
      <c r="C65" s="50">
        <v>18</v>
      </c>
      <c r="D65" s="50">
        <v>10000</v>
      </c>
      <c r="E65" s="50">
        <v>8000</v>
      </c>
      <c r="F65" s="50">
        <v>10000</v>
      </c>
      <c r="G65" s="50">
        <v>12000</v>
      </c>
      <c r="H65" s="50">
        <v>13000</v>
      </c>
      <c r="I65" s="50">
        <v>13000</v>
      </c>
      <c r="J65" s="50">
        <v>10000</v>
      </c>
      <c r="K65" s="50">
        <v>4500</v>
      </c>
      <c r="L65" s="50"/>
      <c r="M65" s="51"/>
      <c r="N65" s="133"/>
      <c r="O65" s="51"/>
    </row>
    <row r="66" spans="1:15" s="64" customFormat="1" x14ac:dyDescent="0.2">
      <c r="A66" s="66" t="s">
        <v>82</v>
      </c>
      <c r="C66" s="50">
        <v>30</v>
      </c>
      <c r="D66" s="50">
        <v>2500</v>
      </c>
      <c r="E66" s="50"/>
      <c r="F66" s="50"/>
      <c r="G66" s="50"/>
      <c r="H66" s="50">
        <v>2500</v>
      </c>
      <c r="I66" s="50">
        <v>2500</v>
      </c>
      <c r="J66" s="50">
        <v>2500</v>
      </c>
      <c r="K66" s="50">
        <v>2000</v>
      </c>
      <c r="L66" s="50"/>
      <c r="M66" s="51"/>
      <c r="N66" s="133"/>
      <c r="O66" s="51"/>
    </row>
    <row r="67" spans="1:15" s="64" customFormat="1" x14ac:dyDescent="0.2">
      <c r="A67" s="66" t="s">
        <v>83</v>
      </c>
      <c r="C67" s="50">
        <v>18</v>
      </c>
      <c r="D67" s="50">
        <v>500</v>
      </c>
      <c r="E67" s="50">
        <v>500</v>
      </c>
      <c r="F67" s="50">
        <v>500</v>
      </c>
      <c r="G67" s="50">
        <v>500</v>
      </c>
      <c r="H67" s="50">
        <v>500</v>
      </c>
      <c r="I67" s="50">
        <v>500</v>
      </c>
      <c r="J67" s="50">
        <v>500</v>
      </c>
      <c r="K67" s="50">
        <v>500</v>
      </c>
      <c r="L67" s="50"/>
      <c r="M67" s="51"/>
      <c r="N67" s="133"/>
      <c r="O67" s="51"/>
    </row>
    <row r="68" spans="1:15" s="64" customFormat="1" x14ac:dyDescent="0.2">
      <c r="A68" s="66" t="s">
        <v>84</v>
      </c>
      <c r="C68" s="50">
        <v>20</v>
      </c>
      <c r="D68" s="50">
        <v>2000</v>
      </c>
      <c r="E68" s="50">
        <v>2000</v>
      </c>
      <c r="F68" s="50">
        <v>2500</v>
      </c>
      <c r="G68" s="50">
        <v>2500</v>
      </c>
      <c r="H68" s="50">
        <v>2000</v>
      </c>
      <c r="I68" s="50">
        <v>2500</v>
      </c>
      <c r="J68" s="50">
        <v>2500</v>
      </c>
      <c r="K68" s="50">
        <v>2500</v>
      </c>
      <c r="L68" s="50"/>
      <c r="M68" s="51"/>
      <c r="N68" s="133"/>
      <c r="O68" s="51"/>
    </row>
    <row r="69" spans="1:15" s="64" customFormat="1" x14ac:dyDescent="0.2">
      <c r="A69" s="66" t="s">
        <v>85</v>
      </c>
      <c r="C69" s="50">
        <v>30</v>
      </c>
      <c r="D69" s="50"/>
      <c r="E69" s="50"/>
      <c r="F69" s="50">
        <v>12000</v>
      </c>
      <c r="G69" s="50">
        <v>1800</v>
      </c>
      <c r="H69" s="50"/>
      <c r="I69" s="50"/>
      <c r="J69" s="50"/>
      <c r="K69" s="50"/>
      <c r="L69" s="50"/>
      <c r="M69" s="51"/>
      <c r="N69" s="133"/>
    </row>
    <row r="70" spans="1:15" s="64" customFormat="1" x14ac:dyDescent="0.2">
      <c r="A70" s="66" t="s">
        <v>86</v>
      </c>
      <c r="C70" s="50">
        <v>30</v>
      </c>
      <c r="D70" s="50">
        <v>2000</v>
      </c>
      <c r="E70" s="50">
        <v>2000</v>
      </c>
      <c r="F70" s="50">
        <v>2000</v>
      </c>
      <c r="G70" s="50">
        <v>2000</v>
      </c>
      <c r="H70" s="50">
        <v>2000</v>
      </c>
      <c r="I70" s="50">
        <v>2000</v>
      </c>
      <c r="J70" s="50">
        <v>2000</v>
      </c>
      <c r="K70" s="50">
        <v>2000</v>
      </c>
      <c r="L70" s="50"/>
      <c r="M70" s="51"/>
      <c r="N70" s="133"/>
    </row>
    <row r="71" spans="1:15" s="64" customFormat="1" x14ac:dyDescent="0.2">
      <c r="A71" s="66" t="s">
        <v>87</v>
      </c>
      <c r="C71" s="50">
        <v>30</v>
      </c>
      <c r="D71" s="50">
        <v>1000</v>
      </c>
      <c r="E71" s="50">
        <v>1000</v>
      </c>
      <c r="F71" s="50">
        <v>1000</v>
      </c>
      <c r="G71" s="50">
        <v>1000</v>
      </c>
      <c r="H71" s="50">
        <v>1000</v>
      </c>
      <c r="I71" s="50">
        <v>1000</v>
      </c>
      <c r="J71" s="50">
        <v>1000</v>
      </c>
      <c r="K71" s="50">
        <v>1000</v>
      </c>
      <c r="L71" s="50"/>
      <c r="M71" s="51"/>
      <c r="N71" s="133"/>
    </row>
    <row r="72" spans="1:15" s="64" customFormat="1" x14ac:dyDescent="0.2">
      <c r="A72" s="66" t="s">
        <v>88</v>
      </c>
      <c r="C72" s="50">
        <v>20</v>
      </c>
      <c r="D72" s="50">
        <v>1500</v>
      </c>
      <c r="E72" s="50">
        <v>1500</v>
      </c>
      <c r="F72" s="50">
        <v>1500</v>
      </c>
      <c r="G72" s="50">
        <v>1500</v>
      </c>
      <c r="H72" s="50">
        <v>1500</v>
      </c>
      <c r="I72" s="50">
        <v>1800</v>
      </c>
      <c r="J72" s="50">
        <v>1800</v>
      </c>
      <c r="K72" s="50">
        <v>1800</v>
      </c>
      <c r="L72" s="50"/>
      <c r="M72" s="51"/>
      <c r="N72" s="133"/>
    </row>
    <row r="73" spans="1:15" s="64" customFormat="1" x14ac:dyDescent="0.2">
      <c r="A73" s="66" t="s">
        <v>89</v>
      </c>
      <c r="C73" s="50">
        <v>25</v>
      </c>
      <c r="D73" s="50">
        <v>1500</v>
      </c>
      <c r="E73" s="50">
        <v>1500</v>
      </c>
      <c r="F73" s="50">
        <v>1500</v>
      </c>
      <c r="G73" s="50">
        <v>1500</v>
      </c>
      <c r="H73" s="50">
        <v>1500</v>
      </c>
      <c r="I73" s="50">
        <v>2000</v>
      </c>
      <c r="J73" s="50">
        <v>2000</v>
      </c>
      <c r="K73" s="50">
        <v>2000</v>
      </c>
      <c r="L73" s="50"/>
      <c r="M73" s="51"/>
      <c r="N73" s="133"/>
    </row>
    <row r="74" spans="1:15" s="64" customFormat="1" x14ac:dyDescent="0.2">
      <c r="A74" s="66" t="s">
        <v>90</v>
      </c>
      <c r="C74" s="50">
        <v>18</v>
      </c>
      <c r="D74" s="50">
        <v>1500</v>
      </c>
      <c r="E74" s="50">
        <v>1500</v>
      </c>
      <c r="F74" s="50">
        <v>2000</v>
      </c>
      <c r="G74" s="50">
        <v>2000</v>
      </c>
      <c r="H74" s="50">
        <v>1500</v>
      </c>
      <c r="I74" s="50">
        <v>2000</v>
      </c>
      <c r="J74" s="50">
        <v>2000</v>
      </c>
      <c r="K74" s="50">
        <v>2000</v>
      </c>
      <c r="L74" s="50"/>
      <c r="M74" s="51"/>
    </row>
    <row r="75" spans="1:15" s="64" customFormat="1" x14ac:dyDescent="0.2">
      <c r="A75" s="66" t="s">
        <v>91</v>
      </c>
      <c r="C75" s="50">
        <v>20</v>
      </c>
      <c r="D75" s="50">
        <v>1000</v>
      </c>
      <c r="E75" s="50">
        <v>1500</v>
      </c>
      <c r="F75" s="50">
        <v>3000</v>
      </c>
      <c r="G75" s="50">
        <v>2500</v>
      </c>
      <c r="H75" s="50">
        <v>1000</v>
      </c>
      <c r="I75" s="50">
        <v>1000</v>
      </c>
      <c r="J75" s="50">
        <v>1000</v>
      </c>
      <c r="K75" s="50">
        <v>1500</v>
      </c>
      <c r="L75" s="50"/>
      <c r="M75" s="51"/>
      <c r="N75" s="105" t="str">
        <f>N1</f>
        <v>Zusatzinfo / Bemerkungen</v>
      </c>
    </row>
    <row r="76" spans="1:15" s="64" customFormat="1" ht="12.75" customHeight="1" x14ac:dyDescent="0.2">
      <c r="A76" s="66" t="s">
        <v>92</v>
      </c>
      <c r="C76" s="50">
        <v>20</v>
      </c>
      <c r="D76" s="50">
        <v>2500</v>
      </c>
      <c r="E76" s="50">
        <v>2500</v>
      </c>
      <c r="F76" s="50">
        <v>2500</v>
      </c>
      <c r="G76" s="50">
        <v>2500</v>
      </c>
      <c r="H76" s="50">
        <v>2500</v>
      </c>
      <c r="I76" s="50">
        <v>3000</v>
      </c>
      <c r="J76" s="50">
        <v>3000</v>
      </c>
      <c r="K76" s="50">
        <v>3000</v>
      </c>
      <c r="L76" s="50"/>
      <c r="M76" s="51"/>
      <c r="N76" s="133" t="s">
        <v>93</v>
      </c>
    </row>
    <row r="77" spans="1:15" s="64" customFormat="1" ht="25.5" x14ac:dyDescent="0.2">
      <c r="A77" s="66" t="s">
        <v>94</v>
      </c>
      <c r="C77" s="50">
        <v>20</v>
      </c>
      <c r="D77" s="50"/>
      <c r="E77" s="50"/>
      <c r="F77" s="50"/>
      <c r="G77" s="50"/>
      <c r="H77" s="50"/>
      <c r="I77" s="50">
        <v>6000</v>
      </c>
      <c r="J77" s="50">
        <v>5000</v>
      </c>
      <c r="K77" s="50">
        <v>5000</v>
      </c>
      <c r="L77" s="50"/>
      <c r="M77" s="51"/>
      <c r="N77" s="112" t="s">
        <v>95</v>
      </c>
    </row>
    <row r="78" spans="1:15" s="64" customFormat="1" ht="12.75" customHeight="1" x14ac:dyDescent="0.2">
      <c r="A78" s="66" t="s">
        <v>96</v>
      </c>
      <c r="C78" s="51"/>
      <c r="D78" s="50"/>
      <c r="E78" s="50"/>
      <c r="F78" s="50"/>
      <c r="G78" s="50"/>
      <c r="H78" s="50"/>
      <c r="I78" s="50"/>
      <c r="J78" s="50"/>
      <c r="K78" s="50"/>
      <c r="L78" s="50"/>
      <c r="M78" s="51"/>
      <c r="N78" s="153" t="s">
        <v>97</v>
      </c>
    </row>
    <row r="79" spans="1:15" s="64" customFormat="1" x14ac:dyDescent="0.2">
      <c r="A79" s="128"/>
      <c r="C79" s="51"/>
      <c r="D79" s="51"/>
      <c r="E79" s="51"/>
      <c r="F79" s="51"/>
      <c r="G79" s="51"/>
      <c r="H79" s="51"/>
      <c r="I79" s="51"/>
      <c r="J79" s="51"/>
      <c r="K79" s="51"/>
      <c r="L79" s="51"/>
      <c r="M79" s="51"/>
      <c r="N79" s="153"/>
    </row>
    <row r="80" spans="1:15" x14ac:dyDescent="0.2">
      <c r="A80" s="57" t="s">
        <v>98</v>
      </c>
      <c r="D80" s="91">
        <f t="shared" ref="D80:L80" si="12">SUM(D62:D77)-D78</f>
        <v>29000</v>
      </c>
      <c r="E80" s="91">
        <f t="shared" si="12"/>
        <v>22000</v>
      </c>
      <c r="F80" s="91">
        <f t="shared" si="12"/>
        <v>38500</v>
      </c>
      <c r="G80" s="91">
        <f t="shared" si="12"/>
        <v>29800</v>
      </c>
      <c r="H80" s="91">
        <f t="shared" si="12"/>
        <v>32000</v>
      </c>
      <c r="I80" s="91">
        <f t="shared" si="12"/>
        <v>40300</v>
      </c>
      <c r="J80" s="91">
        <f t="shared" si="12"/>
        <v>36300</v>
      </c>
      <c r="K80" s="91">
        <f t="shared" si="12"/>
        <v>32300</v>
      </c>
      <c r="L80" s="91">
        <f t="shared" si="12"/>
        <v>0</v>
      </c>
      <c r="N80" s="112"/>
    </row>
    <row r="81" spans="1:14" s="64" customFormat="1" x14ac:dyDescent="0.2">
      <c r="A81" s="66" t="s">
        <v>99</v>
      </c>
      <c r="D81" s="92">
        <f t="shared" ref="D81:K81" si="13">(D$62*$C$62+D$63*$C$63+D$65*$C$65+D$66*$C$66+D$67*$C$67+D$68*$C$68+D$69*$C$69+D$70*$C$70+D$71*$C$71+D$72*$C$72+D$73*$C$73+D$74*$C$74+D$75*$C$75+D$76*$C$76+D$77*$C$77)/(D$80+D78)</f>
        <v>22.362068965517242</v>
      </c>
      <c r="E81" s="92">
        <f t="shared" si="13"/>
        <v>20.795454545454547</v>
      </c>
      <c r="F81" s="92">
        <f t="shared" si="13"/>
        <v>23.441558441558442</v>
      </c>
      <c r="G81" s="92">
        <f t="shared" si="13"/>
        <v>20.889261744966444</v>
      </c>
      <c r="H81" s="92">
        <f t="shared" si="13"/>
        <v>21.953125</v>
      </c>
      <c r="I81" s="92">
        <f t="shared" si="13"/>
        <v>21.588089330024815</v>
      </c>
      <c r="J81" s="92">
        <f t="shared" si="13"/>
        <v>21.928374655647382</v>
      </c>
      <c r="K81" s="92">
        <f t="shared" si="13"/>
        <v>25.603715170278637</v>
      </c>
      <c r="L81" s="92">
        <f>IF(ISERROR((L$62*$C$62+L$63*$C$63+L$65*$C$65+L$66*$C$66+L$67*$C$67+L$68*$C$68+L$69*$C$69+L$70*$C$70+L$71*$C$71+L$72*$C$72+L$73*$C$73+L$74*$C$74+L$75*$C$75+L$76*$C$76+L$77*$C$77)/(L$80+L78)),0,((L$62*$C$62+L$63*$C$63+L$65*$C$65+L$66*$C$66+L$67*$C$67+L$68*$C$68+L$69*$C$69+L$70*$C$70+L$71*$C$71+L$72*$C$72+L$73*$C$73+L$74*$C$74+L$75*$C$75+L$76*$C$76+L$77*$C$77)/(L$80+L78)))</f>
        <v>0</v>
      </c>
      <c r="M81" s="51"/>
      <c r="N81" s="116"/>
    </row>
    <row r="82" spans="1:14" s="64" customFormat="1" x14ac:dyDescent="0.2">
      <c r="A82" s="66" t="s">
        <v>100</v>
      </c>
      <c r="B82" s="130">
        <v>2</v>
      </c>
      <c r="C82" s="64" t="s">
        <v>101</v>
      </c>
      <c r="D82" s="93">
        <f>$B$82/100*POWER(1+$B$82/100,D81)/(POWER(1+$B$82/100,D81)-1)*100</f>
        <v>5.5899936521803557</v>
      </c>
      <c r="E82" s="93">
        <f t="shared" ref="E82:K82" si="14">$B$82/100*POWER(1+$B$82/100,E81)/(POWER(1+$B$82/100,E81)-1)*100</f>
        <v>5.9251127921096121</v>
      </c>
      <c r="F82" s="93">
        <f t="shared" si="14"/>
        <v>5.385537430111131</v>
      </c>
      <c r="G82" s="93">
        <f t="shared" si="14"/>
        <v>5.9036099695577553</v>
      </c>
      <c r="H82" s="93">
        <f t="shared" si="14"/>
        <v>5.6727891313480336</v>
      </c>
      <c r="I82" s="93">
        <f t="shared" si="14"/>
        <v>5.7493869292710258</v>
      </c>
      <c r="J82" s="93">
        <f t="shared" si="14"/>
        <v>5.6779008188205715</v>
      </c>
      <c r="K82" s="93">
        <f t="shared" si="14"/>
        <v>5.0287547384584279</v>
      </c>
      <c r="L82" s="93">
        <f>IF(ISERROR($B$82/100*POWER(1+$B$82/100,L81)/(POWER(1+$B$82/100,L81)-1)*100),0,$B$82/100*POWER(1+$B$82/100,L81)/(POWER(1+$B$82/100,L81)-1)*100)</f>
        <v>0</v>
      </c>
      <c r="M82" s="51"/>
      <c r="N82" s="117"/>
    </row>
    <row r="83" spans="1:14" s="65" customFormat="1" x14ac:dyDescent="0.2">
      <c r="A83" s="78" t="s">
        <v>102</v>
      </c>
      <c r="B83" s="79"/>
      <c r="C83" s="79" t="s">
        <v>103</v>
      </c>
      <c r="D83" s="138">
        <f>D80*D82/100</f>
        <v>1621.0981591323032</v>
      </c>
      <c r="E83" s="138">
        <f t="shared" ref="E83:L83" si="15">E80*E82/100</f>
        <v>1303.5248142641146</v>
      </c>
      <c r="F83" s="138">
        <f t="shared" si="15"/>
        <v>2073.4319105927852</v>
      </c>
      <c r="G83" s="138">
        <f t="shared" si="15"/>
        <v>1759.2757709282109</v>
      </c>
      <c r="H83" s="138">
        <f t="shared" si="15"/>
        <v>1815.2925220313709</v>
      </c>
      <c r="I83" s="138">
        <f t="shared" si="15"/>
        <v>2317.0029324962234</v>
      </c>
      <c r="J83" s="138">
        <f t="shared" si="15"/>
        <v>2061.0779972318674</v>
      </c>
      <c r="K83" s="138">
        <f t="shared" si="15"/>
        <v>1624.2877805220724</v>
      </c>
      <c r="L83" s="138">
        <f t="shared" si="15"/>
        <v>0</v>
      </c>
      <c r="M83" s="57"/>
      <c r="N83" s="118"/>
    </row>
    <row r="84" spans="1:14" s="55" customFormat="1" x14ac:dyDescent="0.2">
      <c r="A84" s="78"/>
      <c r="B84" s="79"/>
      <c r="C84" s="79"/>
      <c r="D84" s="139"/>
      <c r="E84" s="139"/>
      <c r="F84" s="139"/>
      <c r="G84" s="139"/>
      <c r="H84" s="139"/>
      <c r="I84" s="139"/>
      <c r="J84" s="139"/>
      <c r="K84" s="139"/>
      <c r="L84" s="139"/>
      <c r="M84" s="51"/>
      <c r="N84" s="133"/>
    </row>
    <row r="85" spans="1:14" ht="15.75" x14ac:dyDescent="0.25">
      <c r="A85" s="56" t="s">
        <v>104</v>
      </c>
      <c r="B85" s="47"/>
      <c r="D85" s="44" t="str">
        <f t="shared" ref="D85:L85" si="16">D16</f>
        <v>Ölkessel</v>
      </c>
      <c r="E85" s="44" t="str">
        <f t="shared" si="16"/>
        <v>Gaskessel</v>
      </c>
      <c r="F85" s="44" t="str">
        <f t="shared" si="16"/>
        <v>WP Sole</v>
      </c>
      <c r="G85" s="44" t="str">
        <f t="shared" si="16"/>
        <v>WP Luft</v>
      </c>
      <c r="H85" s="44" t="str">
        <f t="shared" si="16"/>
        <v>Pellet</v>
      </c>
      <c r="I85" s="44" t="str">
        <f t="shared" si="16"/>
        <v>Pellet/Sonne</v>
      </c>
      <c r="J85" s="44" t="str">
        <f t="shared" si="16"/>
        <v>Öl/Sonne</v>
      </c>
      <c r="K85" s="44" t="str">
        <f t="shared" si="16"/>
        <v>Gas/Sonne</v>
      </c>
      <c r="L85" s="44" t="str">
        <f t="shared" si="16"/>
        <v>Fernwärme</v>
      </c>
      <c r="N85" s="133"/>
    </row>
    <row r="86" spans="1:14" ht="15.75" x14ac:dyDescent="0.25">
      <c r="A86" s="56"/>
      <c r="B86" s="47"/>
      <c r="C86" s="87" t="s">
        <v>105</v>
      </c>
      <c r="D86" s="131">
        <f t="shared" ref="D86:L86" si="17">D55</f>
        <v>0.99</v>
      </c>
      <c r="E86" s="131">
        <f t="shared" si="17"/>
        <v>1</v>
      </c>
      <c r="F86" s="131">
        <f t="shared" si="17"/>
        <v>3.4</v>
      </c>
      <c r="G86" s="131">
        <f t="shared" si="17"/>
        <v>2.6</v>
      </c>
      <c r="H86" s="131">
        <f t="shared" si="17"/>
        <v>0.82</v>
      </c>
      <c r="I86" s="131">
        <f t="shared" si="17"/>
        <v>0.82</v>
      </c>
      <c r="J86" s="131">
        <f t="shared" si="17"/>
        <v>0.98</v>
      </c>
      <c r="K86" s="131">
        <f t="shared" si="17"/>
        <v>1</v>
      </c>
      <c r="L86" s="131">
        <f t="shared" si="17"/>
        <v>1</v>
      </c>
      <c r="N86" s="133"/>
    </row>
    <row r="87" spans="1:14" x14ac:dyDescent="0.2">
      <c r="A87" s="57" t="s">
        <v>106</v>
      </c>
      <c r="B87" s="47"/>
      <c r="C87" s="47" t="s">
        <v>36</v>
      </c>
      <c r="D87" s="94">
        <f t="shared" ref="D87:L87" si="18">D53*D54</f>
        <v>20404.040404040403</v>
      </c>
      <c r="E87" s="94">
        <f t="shared" si="18"/>
        <v>20200</v>
      </c>
      <c r="F87" s="94">
        <f t="shared" si="18"/>
        <v>5941.1764705882351</v>
      </c>
      <c r="G87" s="94">
        <f t="shared" si="18"/>
        <v>7769.2307692307686</v>
      </c>
      <c r="H87" s="94">
        <f t="shared" si="18"/>
        <v>24634.146341463416</v>
      </c>
      <c r="I87" s="94">
        <f t="shared" si="18"/>
        <v>19707.317073170736</v>
      </c>
      <c r="J87" s="94">
        <f t="shared" si="18"/>
        <v>17520.408163265307</v>
      </c>
      <c r="K87" s="94">
        <f t="shared" si="18"/>
        <v>17170</v>
      </c>
      <c r="L87" s="94">
        <f t="shared" si="18"/>
        <v>20200</v>
      </c>
      <c r="N87" s="133"/>
    </row>
    <row r="88" spans="1:14" x14ac:dyDescent="0.2">
      <c r="A88" s="129" t="s">
        <v>104</v>
      </c>
      <c r="B88" s="47"/>
      <c r="D88" s="94"/>
      <c r="E88" s="94"/>
      <c r="F88" s="94"/>
      <c r="G88" s="94"/>
      <c r="H88" s="94"/>
      <c r="I88" s="94"/>
      <c r="J88" s="94"/>
      <c r="K88" s="94"/>
      <c r="L88" s="94"/>
      <c r="N88" s="133" t="s">
        <v>227</v>
      </c>
    </row>
    <row r="89" spans="1:14" x14ac:dyDescent="0.2">
      <c r="A89" s="66" t="s">
        <v>107</v>
      </c>
      <c r="B89" s="96">
        <v>120</v>
      </c>
      <c r="C89" s="51" t="s">
        <v>108</v>
      </c>
      <c r="D89" s="95">
        <f>D53*B89/100</f>
        <v>2448.4848484848485</v>
      </c>
      <c r="E89" s="95"/>
      <c r="F89" s="95"/>
      <c r="G89" s="95"/>
      <c r="H89" s="95"/>
      <c r="I89" s="95"/>
      <c r="J89" s="95">
        <f>J53*B89/100</f>
        <v>2102.4489795918366</v>
      </c>
      <c r="K89" s="95"/>
      <c r="L89" s="95"/>
      <c r="N89" s="133"/>
    </row>
    <row r="90" spans="1:14" x14ac:dyDescent="0.2">
      <c r="A90" s="57" t="s">
        <v>109</v>
      </c>
      <c r="B90" s="96">
        <v>120</v>
      </c>
      <c r="C90" s="51" t="s">
        <v>110</v>
      </c>
      <c r="D90" s="95"/>
      <c r="E90" s="95">
        <f>B90</f>
        <v>120</v>
      </c>
      <c r="F90" s="95"/>
      <c r="G90" s="95"/>
      <c r="H90" s="95"/>
      <c r="I90" s="95"/>
      <c r="J90" s="95"/>
      <c r="K90" s="95">
        <f>B90</f>
        <v>120</v>
      </c>
      <c r="L90" s="95"/>
      <c r="N90" s="133"/>
    </row>
    <row r="91" spans="1:14" x14ac:dyDescent="0.2">
      <c r="A91" s="57" t="s">
        <v>111</v>
      </c>
      <c r="B91" s="96">
        <v>17.399999999999999</v>
      </c>
      <c r="C91" s="51" t="s">
        <v>112</v>
      </c>
      <c r="D91" s="95"/>
      <c r="E91" s="95">
        <f>E53*B91/10</f>
        <v>3480</v>
      </c>
      <c r="F91" s="95"/>
      <c r="G91" s="95"/>
      <c r="H91" s="95"/>
      <c r="I91" s="95"/>
      <c r="J91" s="95"/>
      <c r="K91" s="95">
        <f>K53*B91/10</f>
        <v>2957.9999999999995</v>
      </c>
      <c r="L91" s="95"/>
      <c r="N91" s="133" t="s">
        <v>113</v>
      </c>
    </row>
    <row r="92" spans="1:14" x14ac:dyDescent="0.2">
      <c r="A92" s="66" t="s">
        <v>114</v>
      </c>
      <c r="B92" s="96"/>
      <c r="C92" s="67" t="s">
        <v>112</v>
      </c>
      <c r="D92" s="95">
        <f t="shared" ref="D92:L92" si="19">D56*$B92/100</f>
        <v>0</v>
      </c>
      <c r="E92" s="95">
        <f t="shared" si="19"/>
        <v>0</v>
      </c>
      <c r="F92" s="95">
        <f t="shared" si="19"/>
        <v>0</v>
      </c>
      <c r="G92" s="95">
        <f t="shared" si="19"/>
        <v>0</v>
      </c>
      <c r="H92" s="95">
        <f t="shared" si="19"/>
        <v>0</v>
      </c>
      <c r="I92" s="95">
        <f t="shared" si="19"/>
        <v>0</v>
      </c>
      <c r="J92" s="95">
        <f t="shared" si="19"/>
        <v>0</v>
      </c>
      <c r="K92" s="95">
        <f t="shared" si="19"/>
        <v>0</v>
      </c>
      <c r="L92" s="95">
        <f t="shared" si="19"/>
        <v>0</v>
      </c>
      <c r="N92" s="133" t="s">
        <v>115</v>
      </c>
    </row>
    <row r="93" spans="1:14" x14ac:dyDescent="0.2">
      <c r="A93" s="66" t="s">
        <v>116</v>
      </c>
      <c r="B93" s="96">
        <v>30.06</v>
      </c>
      <c r="C93" s="51" t="s">
        <v>112</v>
      </c>
      <c r="D93" s="95"/>
      <c r="E93" s="95"/>
      <c r="F93" s="95">
        <f>F53*B93*0.67/100</f>
        <v>1196.5648235294118</v>
      </c>
      <c r="G93" s="95">
        <f>G53*B93*0.67/100</f>
        <v>1564.7386153846153</v>
      </c>
      <c r="H93" s="95"/>
      <c r="I93" s="95"/>
      <c r="J93" s="95"/>
      <c r="K93" s="95"/>
      <c r="L93" s="95"/>
      <c r="N93" s="153" t="s">
        <v>117</v>
      </c>
    </row>
    <row r="94" spans="1:14" x14ac:dyDescent="0.2">
      <c r="A94" s="66" t="s">
        <v>118</v>
      </c>
      <c r="B94" s="96">
        <v>19.16</v>
      </c>
      <c r="C94" s="51" t="s">
        <v>112</v>
      </c>
      <c r="D94" s="95"/>
      <c r="E94" s="95"/>
      <c r="F94" s="95">
        <f>F53*B94*0.33/100</f>
        <v>375.64870588235294</v>
      </c>
      <c r="G94" s="95">
        <f>G53*B94*0.33/100</f>
        <v>491.2329230769231</v>
      </c>
      <c r="H94" s="95"/>
      <c r="I94" s="95"/>
      <c r="J94" s="95"/>
      <c r="K94" s="95"/>
      <c r="L94" s="95"/>
      <c r="N94" s="153"/>
    </row>
    <row r="95" spans="1:14" x14ac:dyDescent="0.2">
      <c r="A95" s="66" t="s">
        <v>119</v>
      </c>
      <c r="B95" s="96">
        <v>120</v>
      </c>
      <c r="C95" s="51" t="s">
        <v>110</v>
      </c>
      <c r="D95" s="95"/>
      <c r="E95" s="95"/>
      <c r="F95" s="95">
        <f>B95</f>
        <v>120</v>
      </c>
      <c r="G95" s="95">
        <f>B95</f>
        <v>120</v>
      </c>
      <c r="H95" s="95"/>
      <c r="I95" s="95"/>
      <c r="J95" s="95"/>
      <c r="K95" s="95"/>
      <c r="L95" s="95"/>
      <c r="N95" s="119" t="s">
        <v>120</v>
      </c>
    </row>
    <row r="96" spans="1:14" x14ac:dyDescent="0.2">
      <c r="A96" s="57" t="s">
        <v>121</v>
      </c>
      <c r="B96" s="96">
        <v>650</v>
      </c>
      <c r="C96" s="51" t="s">
        <v>122</v>
      </c>
      <c r="D96" s="95"/>
      <c r="E96" s="95"/>
      <c r="F96" s="95"/>
      <c r="G96" s="95"/>
      <c r="H96" s="95">
        <f>H53*B96</f>
        <v>3079.268292682927</v>
      </c>
      <c r="I96" s="95">
        <f>I53*B96</f>
        <v>2463.414634146342</v>
      </c>
      <c r="J96" s="95"/>
      <c r="K96" s="95"/>
      <c r="L96" s="95"/>
      <c r="N96" s="133"/>
    </row>
    <row r="97" spans="1:14" x14ac:dyDescent="0.2">
      <c r="A97" s="66" t="s">
        <v>123</v>
      </c>
      <c r="B97" s="96"/>
      <c r="C97" s="69" t="s">
        <v>110</v>
      </c>
      <c r="D97" s="95"/>
      <c r="E97" s="95"/>
      <c r="F97" s="95"/>
      <c r="G97" s="95"/>
      <c r="H97" s="95"/>
      <c r="I97" s="95"/>
      <c r="J97" s="95"/>
      <c r="K97" s="95"/>
      <c r="L97" s="95">
        <f>B97</f>
        <v>0</v>
      </c>
      <c r="N97" s="133"/>
    </row>
    <row r="98" spans="1:14" x14ac:dyDescent="0.2">
      <c r="A98" s="66" t="s">
        <v>26</v>
      </c>
      <c r="B98" s="96"/>
      <c r="C98" s="67" t="s">
        <v>124</v>
      </c>
      <c r="D98" s="95"/>
      <c r="E98" s="95"/>
      <c r="F98" s="95"/>
      <c r="G98" s="95"/>
      <c r="H98" s="95"/>
      <c r="I98" s="95"/>
      <c r="J98" s="95"/>
      <c r="K98" s="95"/>
      <c r="L98" s="95">
        <f>B98*L53/100</f>
        <v>0</v>
      </c>
      <c r="N98" s="120"/>
    </row>
    <row r="99" spans="1:14" s="65" customFormat="1" x14ac:dyDescent="0.2">
      <c r="A99" s="78" t="s">
        <v>125</v>
      </c>
      <c r="B99" s="78"/>
      <c r="C99" s="79" t="s">
        <v>103</v>
      </c>
      <c r="D99" s="60">
        <f t="shared" ref="D99:K99" si="20">SUM(D89:D98)</f>
        <v>2448.4848484848485</v>
      </c>
      <c r="E99" s="60">
        <f t="shared" si="20"/>
        <v>3600</v>
      </c>
      <c r="F99" s="60">
        <f t="shared" si="20"/>
        <v>1692.2135294117647</v>
      </c>
      <c r="G99" s="60">
        <f t="shared" si="20"/>
        <v>2175.9715384615383</v>
      </c>
      <c r="H99" s="60">
        <f t="shared" si="20"/>
        <v>3079.268292682927</v>
      </c>
      <c r="I99" s="60">
        <f t="shared" si="20"/>
        <v>2463.414634146342</v>
      </c>
      <c r="J99" s="60">
        <f t="shared" si="20"/>
        <v>2102.4489795918366</v>
      </c>
      <c r="K99" s="60">
        <f t="shared" si="20"/>
        <v>3077.9999999999995</v>
      </c>
      <c r="L99" s="60">
        <f>SUM(L89:L98)</f>
        <v>0</v>
      </c>
      <c r="M99" s="57"/>
      <c r="N99" s="133"/>
    </row>
    <row r="100" spans="1:14" ht="14.25" customHeight="1" x14ac:dyDescent="0.2">
      <c r="D100" s="44"/>
      <c r="E100" s="44"/>
      <c r="F100" s="44"/>
      <c r="G100" s="44"/>
      <c r="H100" s="44"/>
      <c r="I100" s="44"/>
      <c r="J100" s="44"/>
      <c r="K100" s="44"/>
      <c r="L100" s="44"/>
      <c r="N100" s="133"/>
    </row>
    <row r="101" spans="1:14" ht="15.75" x14ac:dyDescent="0.25">
      <c r="A101" s="56" t="s">
        <v>126</v>
      </c>
      <c r="D101" s="44" t="str">
        <f t="shared" ref="D101:L101" si="21">D16</f>
        <v>Ölkessel</v>
      </c>
      <c r="E101" s="44" t="str">
        <f t="shared" si="21"/>
        <v>Gaskessel</v>
      </c>
      <c r="F101" s="44" t="str">
        <f t="shared" si="21"/>
        <v>WP Sole</v>
      </c>
      <c r="G101" s="44" t="str">
        <f t="shared" si="21"/>
        <v>WP Luft</v>
      </c>
      <c r="H101" s="44" t="str">
        <f t="shared" si="21"/>
        <v>Pellet</v>
      </c>
      <c r="I101" s="44" t="str">
        <f t="shared" si="21"/>
        <v>Pellet/Sonne</v>
      </c>
      <c r="J101" s="44" t="str">
        <f t="shared" si="21"/>
        <v>Öl/Sonne</v>
      </c>
      <c r="K101" s="44" t="str">
        <f t="shared" si="21"/>
        <v>Gas/Sonne</v>
      </c>
      <c r="L101" s="44" t="str">
        <f t="shared" si="21"/>
        <v>Fernwärme</v>
      </c>
      <c r="N101" s="133"/>
    </row>
    <row r="102" spans="1:14" x14ac:dyDescent="0.2">
      <c r="A102" s="57" t="s">
        <v>127</v>
      </c>
      <c r="D102" s="96">
        <v>400</v>
      </c>
      <c r="E102" s="96">
        <v>200</v>
      </c>
      <c r="F102" s="96">
        <v>200</v>
      </c>
      <c r="G102" s="96">
        <v>250</v>
      </c>
      <c r="H102" s="96">
        <v>500</v>
      </c>
      <c r="I102" s="96">
        <v>500</v>
      </c>
      <c r="J102" s="96">
        <v>400</v>
      </c>
      <c r="K102" s="96">
        <v>300</v>
      </c>
      <c r="L102" s="96"/>
      <c r="N102" s="133"/>
    </row>
    <row r="103" spans="1:14" x14ac:dyDescent="0.2">
      <c r="A103" s="57" t="s">
        <v>128</v>
      </c>
      <c r="D103" s="96">
        <v>40</v>
      </c>
      <c r="E103" s="96">
        <v>15</v>
      </c>
      <c r="F103" s="96">
        <v>0</v>
      </c>
      <c r="G103" s="96">
        <v>0</v>
      </c>
      <c r="H103" s="96"/>
      <c r="I103" s="96"/>
      <c r="J103" s="96">
        <v>40</v>
      </c>
      <c r="K103" s="96">
        <v>20</v>
      </c>
      <c r="L103" s="96">
        <v>0</v>
      </c>
      <c r="N103" s="133"/>
    </row>
    <row r="104" spans="1:14" x14ac:dyDescent="0.2">
      <c r="A104" s="57" t="s">
        <v>129</v>
      </c>
      <c r="D104" s="96">
        <v>190</v>
      </c>
      <c r="E104" s="96">
        <v>15</v>
      </c>
      <c r="F104" s="96">
        <v>0</v>
      </c>
      <c r="G104" s="96">
        <v>0</v>
      </c>
      <c r="H104" s="96">
        <v>190</v>
      </c>
      <c r="I104" s="96">
        <v>190</v>
      </c>
      <c r="J104" s="96">
        <v>190</v>
      </c>
      <c r="K104" s="96">
        <v>47</v>
      </c>
      <c r="L104" s="96">
        <v>0</v>
      </c>
      <c r="N104" s="133"/>
    </row>
    <row r="105" spans="1:14" x14ac:dyDescent="0.2">
      <c r="A105" s="57" t="s">
        <v>130</v>
      </c>
      <c r="D105" s="96">
        <v>90</v>
      </c>
      <c r="E105" s="96">
        <v>0</v>
      </c>
      <c r="F105" s="96">
        <v>0</v>
      </c>
      <c r="G105" s="96">
        <v>0</v>
      </c>
      <c r="H105" s="96"/>
      <c r="I105" s="96"/>
      <c r="J105" s="96">
        <v>90</v>
      </c>
      <c r="K105" s="96">
        <v>0</v>
      </c>
      <c r="L105" s="96">
        <v>0</v>
      </c>
      <c r="N105" s="133" t="s">
        <v>131</v>
      </c>
    </row>
    <row r="106" spans="1:14" x14ac:dyDescent="0.2">
      <c r="A106" s="66" t="s">
        <v>132</v>
      </c>
      <c r="D106" s="90">
        <f>$B$82*D89/100</f>
        <v>48.969696969696969</v>
      </c>
      <c r="E106" s="90"/>
      <c r="F106" s="90">
        <v>0</v>
      </c>
      <c r="G106" s="90">
        <v>0</v>
      </c>
      <c r="H106" s="90">
        <f>$B$82*H96/100</f>
        <v>61.585365853658544</v>
      </c>
      <c r="I106" s="90">
        <f>$B$82*I96/100</f>
        <v>49.268292682926841</v>
      </c>
      <c r="J106" s="90">
        <f>$B$82*J89/100</f>
        <v>42.048979591836734</v>
      </c>
      <c r="K106" s="90"/>
      <c r="L106" s="90">
        <v>0</v>
      </c>
      <c r="N106" s="120"/>
    </row>
    <row r="107" spans="1:14" s="65" customFormat="1" x14ac:dyDescent="0.2">
      <c r="A107" s="78" t="s">
        <v>133</v>
      </c>
      <c r="B107" s="78"/>
      <c r="C107" s="79" t="s">
        <v>103</v>
      </c>
      <c r="D107" s="62">
        <f t="shared" ref="D107:L107" si="22">SUM(D102:D106)</f>
        <v>768.969696969697</v>
      </c>
      <c r="E107" s="62">
        <f t="shared" si="22"/>
        <v>230</v>
      </c>
      <c r="F107" s="62">
        <f t="shared" si="22"/>
        <v>200</v>
      </c>
      <c r="G107" s="62">
        <f t="shared" si="22"/>
        <v>250</v>
      </c>
      <c r="H107" s="62">
        <f t="shared" si="22"/>
        <v>751.58536585365857</v>
      </c>
      <c r="I107" s="62">
        <f t="shared" si="22"/>
        <v>739.26829268292681</v>
      </c>
      <c r="J107" s="62">
        <f t="shared" si="22"/>
        <v>762.04897959183677</v>
      </c>
      <c r="K107" s="62">
        <f t="shared" si="22"/>
        <v>367</v>
      </c>
      <c r="L107" s="62">
        <f t="shared" si="22"/>
        <v>0</v>
      </c>
      <c r="M107" s="57"/>
      <c r="N107" s="133"/>
    </row>
    <row r="108" spans="1:14" x14ac:dyDescent="0.2">
      <c r="D108" s="44"/>
      <c r="E108" s="44"/>
      <c r="F108" s="44"/>
      <c r="G108" s="44"/>
      <c r="H108" s="44"/>
      <c r="I108" s="44"/>
      <c r="J108" s="44"/>
      <c r="K108" s="44"/>
      <c r="L108" s="44"/>
      <c r="N108" s="133"/>
    </row>
    <row r="109" spans="1:14" ht="15.75" x14ac:dyDescent="0.25">
      <c r="A109" s="56" t="s">
        <v>134</v>
      </c>
      <c r="D109" s="44" t="str">
        <f t="shared" ref="D109:L109" si="23">D16</f>
        <v>Ölkessel</v>
      </c>
      <c r="E109" s="44" t="str">
        <f t="shared" si="23"/>
        <v>Gaskessel</v>
      </c>
      <c r="F109" s="44" t="str">
        <f t="shared" si="23"/>
        <v>WP Sole</v>
      </c>
      <c r="G109" s="44" t="str">
        <f t="shared" si="23"/>
        <v>WP Luft</v>
      </c>
      <c r="H109" s="44" t="str">
        <f t="shared" si="23"/>
        <v>Pellet</v>
      </c>
      <c r="I109" s="44" t="str">
        <f t="shared" si="23"/>
        <v>Pellet/Sonne</v>
      </c>
      <c r="J109" s="44" t="str">
        <f t="shared" si="23"/>
        <v>Öl/Sonne</v>
      </c>
      <c r="K109" s="44" t="str">
        <f t="shared" si="23"/>
        <v>Gas/Sonne</v>
      </c>
      <c r="L109" s="44" t="str">
        <f t="shared" si="23"/>
        <v>Fernwärme</v>
      </c>
      <c r="N109" s="133"/>
    </row>
    <row r="110" spans="1:14" x14ac:dyDescent="0.2">
      <c r="A110" s="57" t="s">
        <v>135</v>
      </c>
      <c r="D110" s="94">
        <f t="shared" ref="D110:L110" si="24">D83</f>
        <v>1621.0981591323032</v>
      </c>
      <c r="E110" s="94">
        <f t="shared" si="24"/>
        <v>1303.5248142641146</v>
      </c>
      <c r="F110" s="94">
        <f t="shared" si="24"/>
        <v>2073.4319105927852</v>
      </c>
      <c r="G110" s="94">
        <f t="shared" si="24"/>
        <v>1759.2757709282109</v>
      </c>
      <c r="H110" s="94">
        <f t="shared" si="24"/>
        <v>1815.2925220313709</v>
      </c>
      <c r="I110" s="94">
        <f t="shared" si="24"/>
        <v>2317.0029324962234</v>
      </c>
      <c r="J110" s="94">
        <f t="shared" si="24"/>
        <v>2061.0779972318674</v>
      </c>
      <c r="K110" s="94">
        <f t="shared" si="24"/>
        <v>1624.2877805220724</v>
      </c>
      <c r="L110" s="94">
        <f t="shared" si="24"/>
        <v>0</v>
      </c>
      <c r="N110" s="133"/>
    </row>
    <row r="111" spans="1:14" x14ac:dyDescent="0.2">
      <c r="A111" s="57" t="s">
        <v>104</v>
      </c>
      <c r="D111" s="94">
        <f t="shared" ref="D111:J111" si="25">D99</f>
        <v>2448.4848484848485</v>
      </c>
      <c r="E111" s="94">
        <f t="shared" si="25"/>
        <v>3600</v>
      </c>
      <c r="F111" s="94">
        <f t="shared" si="25"/>
        <v>1692.2135294117647</v>
      </c>
      <c r="G111" s="94">
        <f t="shared" si="25"/>
        <v>2175.9715384615383</v>
      </c>
      <c r="H111" s="94">
        <f t="shared" si="25"/>
        <v>3079.268292682927</v>
      </c>
      <c r="I111" s="94">
        <f t="shared" si="25"/>
        <v>2463.414634146342</v>
      </c>
      <c r="J111" s="94">
        <f t="shared" si="25"/>
        <v>2102.4489795918366</v>
      </c>
      <c r="K111" s="94">
        <f>K99</f>
        <v>3077.9999999999995</v>
      </c>
      <c r="L111" s="94">
        <f>L99</f>
        <v>0</v>
      </c>
      <c r="N111" s="133"/>
    </row>
    <row r="112" spans="1:14" x14ac:dyDescent="0.2">
      <c r="A112" s="57" t="s">
        <v>126</v>
      </c>
      <c r="D112" s="94">
        <f t="shared" ref="D112:J112" si="26">D107</f>
        <v>768.969696969697</v>
      </c>
      <c r="E112" s="94">
        <f t="shared" si="26"/>
        <v>230</v>
      </c>
      <c r="F112" s="94">
        <f t="shared" si="26"/>
        <v>200</v>
      </c>
      <c r="G112" s="94">
        <f t="shared" si="26"/>
        <v>250</v>
      </c>
      <c r="H112" s="94">
        <f t="shared" si="26"/>
        <v>751.58536585365857</v>
      </c>
      <c r="I112" s="94">
        <f t="shared" si="26"/>
        <v>739.26829268292681</v>
      </c>
      <c r="J112" s="94">
        <f t="shared" si="26"/>
        <v>762.04897959183677</v>
      </c>
      <c r="K112" s="94">
        <f>K107</f>
        <v>367</v>
      </c>
      <c r="L112" s="94">
        <f>L107</f>
        <v>0</v>
      </c>
      <c r="N112" s="120"/>
    </row>
    <row r="113" spans="1:14" s="65" customFormat="1" x14ac:dyDescent="0.2">
      <c r="A113" s="78" t="s">
        <v>134</v>
      </c>
      <c r="B113" s="78"/>
      <c r="C113" s="140" t="s">
        <v>103</v>
      </c>
      <c r="D113" s="60">
        <f>SUM(D110:D112)</f>
        <v>4838.5527045868484</v>
      </c>
      <c r="E113" s="60">
        <f t="shared" ref="E113:L113" si="27">SUM(E110:E112)</f>
        <v>5133.5248142641149</v>
      </c>
      <c r="F113" s="60">
        <f t="shared" si="27"/>
        <v>3965.64544000455</v>
      </c>
      <c r="G113" s="60">
        <f t="shared" si="27"/>
        <v>4185.2473093897497</v>
      </c>
      <c r="H113" s="60">
        <f t="shared" si="27"/>
        <v>5646.1461805679564</v>
      </c>
      <c r="I113" s="60">
        <f t="shared" si="27"/>
        <v>5519.6858593254919</v>
      </c>
      <c r="J113" s="60">
        <f t="shared" si="27"/>
        <v>4925.5759564155405</v>
      </c>
      <c r="K113" s="60">
        <f t="shared" si="27"/>
        <v>5069.2877805220724</v>
      </c>
      <c r="L113" s="60">
        <f t="shared" si="27"/>
        <v>0</v>
      </c>
      <c r="M113" s="57"/>
      <c r="N113" s="133"/>
    </row>
    <row r="114" spans="1:14" x14ac:dyDescent="0.2">
      <c r="A114" s="57" t="s">
        <v>136</v>
      </c>
      <c r="C114" s="44" t="s">
        <v>101</v>
      </c>
      <c r="D114" s="94">
        <v>100</v>
      </c>
      <c r="E114" s="94">
        <f t="shared" ref="E114:L114" si="28">E113/$D$113*100</f>
        <v>106.09628803666102</v>
      </c>
      <c r="F114" s="94">
        <f t="shared" si="28"/>
        <v>81.959331273692641</v>
      </c>
      <c r="G114" s="94">
        <f t="shared" si="28"/>
        <v>86.497917144153902</v>
      </c>
      <c r="H114" s="94">
        <f t="shared" si="28"/>
        <v>116.69080663760315</v>
      </c>
      <c r="I114" s="94">
        <f t="shared" si="28"/>
        <v>114.07720854405375</v>
      </c>
      <c r="J114" s="94">
        <f t="shared" si="28"/>
        <v>101.79853888428654</v>
      </c>
      <c r="K114" s="94">
        <f t="shared" si="28"/>
        <v>104.76867960364453</v>
      </c>
      <c r="L114" s="94">
        <f t="shared" si="28"/>
        <v>0</v>
      </c>
      <c r="N114" s="133"/>
    </row>
    <row r="115" spans="1:14" x14ac:dyDescent="0.2">
      <c r="C115" s="44"/>
      <c r="D115" s="94"/>
      <c r="E115" s="94"/>
      <c r="F115" s="94"/>
      <c r="G115" s="94"/>
      <c r="H115" s="94"/>
      <c r="I115" s="94"/>
      <c r="J115" s="94"/>
      <c r="K115" s="94"/>
      <c r="L115" s="94"/>
      <c r="N115" s="106"/>
    </row>
    <row r="116" spans="1:14" s="55" customFormat="1" x14ac:dyDescent="0.2">
      <c r="A116" s="78" t="s">
        <v>137</v>
      </c>
      <c r="B116" s="52"/>
      <c r="C116" s="141" t="s">
        <v>112</v>
      </c>
      <c r="D116" s="142">
        <f t="shared" ref="D116:L116" si="29">D113/$E$20*100</f>
        <v>23.953231210825983</v>
      </c>
      <c r="E116" s="142">
        <f t="shared" si="29"/>
        <v>25.413489179525321</v>
      </c>
      <c r="F116" s="142">
        <f t="shared" si="29"/>
        <v>19.631908118834406</v>
      </c>
      <c r="G116" s="142">
        <f t="shared" si="29"/>
        <v>20.719046086087868</v>
      </c>
      <c r="H116" s="142">
        <f t="shared" si="29"/>
        <v>27.951218715682952</v>
      </c>
      <c r="I116" s="142">
        <f t="shared" si="29"/>
        <v>27.325177521413323</v>
      </c>
      <c r="J116" s="142">
        <f t="shared" si="29"/>
        <v>24.384039388195745</v>
      </c>
      <c r="K116" s="142">
        <f t="shared" si="29"/>
        <v>25.095484061990458</v>
      </c>
      <c r="L116" s="142">
        <f t="shared" si="29"/>
        <v>0</v>
      </c>
      <c r="M116" s="51"/>
      <c r="N116" s="106"/>
    </row>
    <row r="117" spans="1:14" s="55" customFormat="1" x14ac:dyDescent="0.2">
      <c r="A117" s="78"/>
      <c r="B117" s="52"/>
      <c r="C117" s="52"/>
      <c r="D117" s="40"/>
      <c r="E117" s="40"/>
      <c r="F117" s="40"/>
      <c r="G117" s="40"/>
      <c r="H117" s="40"/>
      <c r="I117" s="40"/>
      <c r="J117" s="40"/>
      <c r="K117" s="40"/>
      <c r="L117" s="40"/>
      <c r="M117" s="51"/>
      <c r="N117" s="133"/>
    </row>
    <row r="118" spans="1:14" ht="15.75" x14ac:dyDescent="0.25">
      <c r="A118" s="56" t="s">
        <v>138</v>
      </c>
      <c r="D118" s="44"/>
      <c r="E118" s="44"/>
      <c r="F118" s="44"/>
      <c r="G118" s="44"/>
      <c r="H118" s="44"/>
      <c r="I118" s="44"/>
      <c r="J118" s="44"/>
      <c r="K118" s="44"/>
      <c r="L118" s="44"/>
      <c r="N118" s="133"/>
    </row>
    <row r="119" spans="1:14" s="55" customFormat="1" x14ac:dyDescent="0.2">
      <c r="A119" s="78"/>
      <c r="B119" s="52"/>
      <c r="C119" s="52"/>
      <c r="D119" s="44" t="str">
        <f t="shared" ref="D119:L119" si="30">D16</f>
        <v>Ölkessel</v>
      </c>
      <c r="E119" s="44" t="str">
        <f t="shared" si="30"/>
        <v>Gaskessel</v>
      </c>
      <c r="F119" s="44" t="str">
        <f t="shared" si="30"/>
        <v>WP Sole</v>
      </c>
      <c r="G119" s="44" t="str">
        <f t="shared" si="30"/>
        <v>WP Luft</v>
      </c>
      <c r="H119" s="44" t="str">
        <f t="shared" si="30"/>
        <v>Pellet</v>
      </c>
      <c r="I119" s="44" t="str">
        <f t="shared" si="30"/>
        <v>Pellet/Sonne</v>
      </c>
      <c r="J119" s="44" t="str">
        <f t="shared" si="30"/>
        <v>Öl/Sonne</v>
      </c>
      <c r="K119" s="44" t="str">
        <f t="shared" si="30"/>
        <v>Gas/Sonne</v>
      </c>
      <c r="L119" s="136" t="str">
        <f t="shared" si="30"/>
        <v>Fernwärme</v>
      </c>
      <c r="M119" s="51"/>
      <c r="N119" s="133" t="s">
        <v>139</v>
      </c>
    </row>
    <row r="120" spans="1:14" x14ac:dyDescent="0.2">
      <c r="A120" s="66" t="s">
        <v>140</v>
      </c>
      <c r="C120" s="48" t="s">
        <v>103</v>
      </c>
      <c r="D120" s="143">
        <f t="shared" ref="D120:L120" si="31">D113</f>
        <v>4838.5527045868484</v>
      </c>
      <c r="E120" s="143">
        <f t="shared" si="31"/>
        <v>5133.5248142641149</v>
      </c>
      <c r="F120" s="143">
        <f t="shared" si="31"/>
        <v>3965.64544000455</v>
      </c>
      <c r="G120" s="143">
        <f t="shared" si="31"/>
        <v>4185.2473093897497</v>
      </c>
      <c r="H120" s="143">
        <f t="shared" si="31"/>
        <v>5646.1461805679564</v>
      </c>
      <c r="I120" s="143">
        <f t="shared" si="31"/>
        <v>5519.6858593254919</v>
      </c>
      <c r="J120" s="143">
        <f t="shared" si="31"/>
        <v>4925.5759564155405</v>
      </c>
      <c r="K120" s="143">
        <f t="shared" si="31"/>
        <v>5069.2877805220724</v>
      </c>
      <c r="L120" s="144">
        <f t="shared" si="31"/>
        <v>0</v>
      </c>
      <c r="N120" s="133"/>
    </row>
    <row r="121" spans="1:14" x14ac:dyDescent="0.2">
      <c r="A121" s="66" t="s">
        <v>225</v>
      </c>
      <c r="B121" s="96">
        <v>120</v>
      </c>
      <c r="C121" s="133" t="s">
        <v>122</v>
      </c>
      <c r="D121" s="97">
        <f>$B121*D44</f>
        <v>652.27636363636361</v>
      </c>
      <c r="E121" s="97">
        <f>$B121*E44</f>
        <v>488.67839999999995</v>
      </c>
      <c r="F121" s="98">
        <v>0</v>
      </c>
      <c r="G121" s="98">
        <v>0</v>
      </c>
      <c r="H121" s="98">
        <v>0</v>
      </c>
      <c r="I121" s="98">
        <v>0</v>
      </c>
      <c r="J121" s="97">
        <f>$B121*J44</f>
        <v>560.0924081632653</v>
      </c>
      <c r="K121" s="97">
        <f>$B121*K44</f>
        <v>415.37663999999995</v>
      </c>
      <c r="L121" s="89">
        <v>0</v>
      </c>
      <c r="N121" s="133" t="s">
        <v>224</v>
      </c>
    </row>
    <row r="122" spans="1:14" x14ac:dyDescent="0.2">
      <c r="A122" s="66" t="s">
        <v>141</v>
      </c>
      <c r="C122" s="47" t="s">
        <v>112</v>
      </c>
      <c r="D122" s="99">
        <v>4.5</v>
      </c>
      <c r="E122" s="99">
        <v>3</v>
      </c>
      <c r="F122" s="99">
        <v>5</v>
      </c>
      <c r="G122" s="99">
        <v>5</v>
      </c>
      <c r="H122" s="99">
        <v>1.5</v>
      </c>
      <c r="I122" s="99">
        <v>1.5</v>
      </c>
      <c r="J122" s="99">
        <v>4.5</v>
      </c>
      <c r="K122" s="99">
        <v>3</v>
      </c>
      <c r="L122" s="100">
        <v>1.8</v>
      </c>
      <c r="N122" s="133" t="s">
        <v>142</v>
      </c>
    </row>
    <row r="123" spans="1:14" x14ac:dyDescent="0.2">
      <c r="A123" s="66" t="s">
        <v>143</v>
      </c>
      <c r="C123" s="47" t="s">
        <v>103</v>
      </c>
      <c r="D123" s="98">
        <f t="shared" ref="D123:L123" si="32">D87*D122/100</f>
        <v>918.18181818181813</v>
      </c>
      <c r="E123" s="98">
        <f t="shared" si="32"/>
        <v>606</v>
      </c>
      <c r="F123" s="98">
        <f t="shared" si="32"/>
        <v>297.05882352941177</v>
      </c>
      <c r="G123" s="98">
        <f t="shared" si="32"/>
        <v>388.46153846153845</v>
      </c>
      <c r="H123" s="98">
        <f t="shared" si="32"/>
        <v>369.51219512195121</v>
      </c>
      <c r="I123" s="98">
        <f t="shared" si="32"/>
        <v>295.60975609756105</v>
      </c>
      <c r="J123" s="98">
        <f t="shared" si="32"/>
        <v>788.41836734693879</v>
      </c>
      <c r="K123" s="98">
        <f t="shared" si="32"/>
        <v>515.1</v>
      </c>
      <c r="L123" s="89">
        <f t="shared" si="32"/>
        <v>363.6</v>
      </c>
      <c r="N123" s="133"/>
    </row>
    <row r="124" spans="1:14" x14ac:dyDescent="0.2">
      <c r="D124" s="98"/>
      <c r="E124" s="98"/>
      <c r="F124" s="98"/>
      <c r="G124" s="98"/>
      <c r="H124" s="98"/>
      <c r="I124" s="98"/>
      <c r="J124" s="98"/>
      <c r="K124" s="98"/>
      <c r="L124" s="89"/>
      <c r="N124" s="106"/>
    </row>
    <row r="125" spans="1:14" s="52" customFormat="1" x14ac:dyDescent="0.2">
      <c r="A125" s="78" t="s">
        <v>138</v>
      </c>
      <c r="B125" s="78"/>
      <c r="C125" s="79" t="s">
        <v>103</v>
      </c>
      <c r="D125" s="101">
        <f t="shared" ref="D125:J125" si="33">SUM(D120:D121)+D123</f>
        <v>6409.0108864050299</v>
      </c>
      <c r="E125" s="101">
        <f t="shared" si="33"/>
        <v>6228.2032142641146</v>
      </c>
      <c r="F125" s="101">
        <f t="shared" si="33"/>
        <v>4262.7042635339621</v>
      </c>
      <c r="G125" s="101">
        <f t="shared" si="33"/>
        <v>4573.7088478512878</v>
      </c>
      <c r="H125" s="101">
        <f t="shared" si="33"/>
        <v>6015.6583756899072</v>
      </c>
      <c r="I125" s="101">
        <f t="shared" si="33"/>
        <v>5815.2956154230533</v>
      </c>
      <c r="J125" s="101">
        <f t="shared" si="33"/>
        <v>6274.086731925745</v>
      </c>
      <c r="K125" s="101">
        <f>SUM(K120:K121)+K123</f>
        <v>5999.7644205220731</v>
      </c>
      <c r="L125" s="102">
        <f>SUM(L120:L121)+L123</f>
        <v>363.6</v>
      </c>
      <c r="M125" s="51"/>
      <c r="N125" s="133"/>
    </row>
    <row r="126" spans="1:14" x14ac:dyDescent="0.2">
      <c r="B126" s="57"/>
      <c r="C126" s="80"/>
      <c r="D126" s="103"/>
      <c r="E126" s="103"/>
      <c r="F126" s="103"/>
      <c r="G126" s="103"/>
      <c r="H126" s="103"/>
      <c r="I126" s="103"/>
      <c r="J126" s="103"/>
      <c r="K126" s="103"/>
      <c r="L126" s="104"/>
      <c r="N126" s="106"/>
    </row>
    <row r="127" spans="1:14" s="52" customFormat="1" x14ac:dyDescent="0.2">
      <c r="A127" s="78" t="s">
        <v>234</v>
      </c>
      <c r="B127" s="78"/>
      <c r="C127" s="79" t="s">
        <v>112</v>
      </c>
      <c r="D127" s="101">
        <f t="shared" ref="D127:L127" si="34">D125/$E$20*100</f>
        <v>31.727776665371433</v>
      </c>
      <c r="E127" s="101">
        <f t="shared" si="34"/>
        <v>30.832689179525318</v>
      </c>
      <c r="F127" s="101">
        <f t="shared" si="34"/>
        <v>21.102496354128526</v>
      </c>
      <c r="G127" s="101">
        <f t="shared" si="34"/>
        <v>22.642123009164791</v>
      </c>
      <c r="H127" s="101">
        <f t="shared" si="34"/>
        <v>29.780487008365874</v>
      </c>
      <c r="I127" s="101">
        <f t="shared" si="34"/>
        <v>28.788592155559673</v>
      </c>
      <c r="J127" s="101">
        <f t="shared" si="34"/>
        <v>31.059835306563095</v>
      </c>
      <c r="K127" s="101">
        <f t="shared" si="34"/>
        <v>29.701804061990462</v>
      </c>
      <c r="L127" s="102">
        <f t="shared" si="34"/>
        <v>1.8000000000000003</v>
      </c>
      <c r="M127" s="51"/>
      <c r="N127" s="106"/>
    </row>
    <row r="128" spans="1:14" s="52" customFormat="1" x14ac:dyDescent="0.2">
      <c r="A128" s="78"/>
      <c r="C128" s="48"/>
      <c r="D128" s="40"/>
      <c r="E128" s="40"/>
      <c r="F128" s="40"/>
      <c r="G128" s="40"/>
      <c r="H128" s="40"/>
      <c r="I128" s="40"/>
      <c r="J128" s="40"/>
      <c r="K128" s="40"/>
      <c r="L128" s="40"/>
      <c r="M128" s="51"/>
      <c r="N128" s="106"/>
    </row>
    <row r="129" spans="1:14" s="52" customFormat="1" x14ac:dyDescent="0.2">
      <c r="A129" s="78"/>
      <c r="C129" s="48"/>
      <c r="D129" s="40"/>
      <c r="E129" s="40"/>
      <c r="F129" s="40"/>
      <c r="G129" s="40"/>
      <c r="H129" s="40"/>
      <c r="I129" s="40"/>
      <c r="J129" s="40"/>
      <c r="K129" s="40"/>
      <c r="L129" s="40"/>
      <c r="M129" s="54"/>
      <c r="N129" s="106"/>
    </row>
    <row r="130" spans="1:14" s="52" customFormat="1" x14ac:dyDescent="0.2">
      <c r="A130" s="78"/>
      <c r="C130" s="48"/>
      <c r="D130" s="40"/>
      <c r="E130" s="40"/>
      <c r="F130" s="40"/>
      <c r="G130" s="40"/>
      <c r="H130" s="40"/>
      <c r="I130" s="40"/>
      <c r="J130" s="40"/>
      <c r="K130" s="40"/>
      <c r="L130" s="40"/>
      <c r="M130" s="54"/>
      <c r="N130" s="106"/>
    </row>
    <row r="131" spans="1:14" s="52" customFormat="1" x14ac:dyDescent="0.2">
      <c r="A131" s="153" t="s">
        <v>236</v>
      </c>
      <c r="B131" s="153"/>
      <c r="C131" s="153"/>
      <c r="D131" s="153"/>
      <c r="E131" s="153"/>
      <c r="F131" s="153"/>
      <c r="G131" s="153"/>
      <c r="H131" s="153"/>
      <c r="I131" s="153"/>
      <c r="J131" s="153"/>
      <c r="K131" s="153"/>
      <c r="L131" s="153"/>
      <c r="M131" s="153"/>
      <c r="N131" s="106"/>
    </row>
    <row r="132" spans="1:14" s="52" customFormat="1" x14ac:dyDescent="0.2">
      <c r="A132" s="78"/>
      <c r="C132" s="48"/>
      <c r="D132" s="40"/>
      <c r="E132" s="40"/>
      <c r="F132" s="40"/>
      <c r="G132" s="40"/>
      <c r="H132" s="40"/>
      <c r="I132" s="40"/>
      <c r="J132" s="40"/>
      <c r="K132" s="40"/>
      <c r="L132" s="40"/>
      <c r="M132" s="54"/>
      <c r="N132" s="106"/>
    </row>
    <row r="133" spans="1:14" x14ac:dyDescent="0.2">
      <c r="A133" s="66"/>
      <c r="B133" s="54"/>
      <c r="C133" s="54"/>
      <c r="D133" s="54"/>
      <c r="E133" s="54"/>
      <c r="F133" s="54"/>
      <c r="G133" s="54"/>
      <c r="H133" s="54"/>
      <c r="I133" s="54"/>
      <c r="J133" s="54"/>
      <c r="K133" s="54"/>
      <c r="L133" s="54"/>
      <c r="M133" s="54"/>
      <c r="N133" s="106"/>
    </row>
    <row r="134" spans="1:14" ht="15.75" x14ac:dyDescent="0.25">
      <c r="A134" s="56" t="s">
        <v>144</v>
      </c>
      <c r="B134" s="54"/>
      <c r="C134" s="54"/>
      <c r="D134" s="54"/>
      <c r="E134" s="54"/>
      <c r="F134" s="54"/>
      <c r="G134" s="54"/>
      <c r="H134" s="54"/>
      <c r="I134" s="54"/>
      <c r="J134" s="54"/>
      <c r="K134" s="54"/>
      <c r="L134" s="54"/>
      <c r="M134" s="66"/>
      <c r="N134" s="106"/>
    </row>
    <row r="135" spans="1:14" x14ac:dyDescent="0.2">
      <c r="A135" s="59" t="s">
        <v>42</v>
      </c>
      <c r="B135" s="54"/>
      <c r="C135" s="54"/>
      <c r="D135" s="54"/>
      <c r="E135" s="54"/>
      <c r="F135" s="54"/>
      <c r="G135" s="54"/>
      <c r="H135" s="54"/>
      <c r="I135" s="54"/>
      <c r="J135" s="54"/>
      <c r="K135" s="54"/>
      <c r="L135" s="54"/>
      <c r="M135" s="66"/>
      <c r="N135" s="133"/>
    </row>
    <row r="136" spans="1:14" x14ac:dyDescent="0.2">
      <c r="A136" s="66" t="s">
        <v>228</v>
      </c>
      <c r="B136" s="54"/>
      <c r="C136" s="54"/>
      <c r="D136" s="54"/>
      <c r="E136" s="54"/>
      <c r="F136" s="54"/>
      <c r="G136" s="54"/>
      <c r="H136" s="54"/>
      <c r="I136" s="54"/>
      <c r="J136" s="54"/>
      <c r="K136" s="54"/>
      <c r="L136" s="54"/>
      <c r="M136" s="66"/>
      <c r="N136" s="133"/>
    </row>
    <row r="137" spans="1:14" x14ac:dyDescent="0.2">
      <c r="A137" s="66" t="s">
        <v>229</v>
      </c>
      <c r="B137" s="54"/>
      <c r="C137" s="54"/>
      <c r="D137" s="54"/>
      <c r="E137" s="54"/>
      <c r="F137" s="54"/>
      <c r="G137" s="54"/>
      <c r="H137" s="54"/>
      <c r="I137" s="54"/>
      <c r="J137" s="54"/>
      <c r="K137" s="54"/>
      <c r="L137" s="54"/>
      <c r="M137" s="66"/>
      <c r="N137" s="133"/>
    </row>
    <row r="138" spans="1:14" x14ac:dyDescent="0.2">
      <c r="A138" s="66" t="s">
        <v>230</v>
      </c>
      <c r="B138" s="54"/>
      <c r="C138" s="54"/>
      <c r="D138" s="54"/>
      <c r="E138" s="54"/>
      <c r="F138" s="54"/>
      <c r="G138" s="54"/>
      <c r="H138" s="54"/>
      <c r="I138" s="54"/>
      <c r="J138" s="54"/>
      <c r="K138" s="54"/>
      <c r="L138" s="54"/>
      <c r="M138" s="66"/>
      <c r="N138" s="133"/>
    </row>
    <row r="139" spans="1:14" x14ac:dyDescent="0.2">
      <c r="A139" s="66" t="s">
        <v>231</v>
      </c>
      <c r="B139" s="54"/>
      <c r="C139" s="54"/>
      <c r="D139" s="54"/>
      <c r="E139" s="54"/>
      <c r="F139" s="54"/>
      <c r="G139" s="54"/>
      <c r="H139" s="54"/>
      <c r="I139" s="54"/>
      <c r="J139" s="54"/>
      <c r="K139" s="54"/>
      <c r="L139" s="54"/>
      <c r="M139" s="66"/>
      <c r="N139" s="133"/>
    </row>
    <row r="140" spans="1:14" x14ac:dyDescent="0.2">
      <c r="A140" s="66" t="s">
        <v>145</v>
      </c>
      <c r="B140" s="54"/>
      <c r="C140" s="54"/>
      <c r="D140" s="54"/>
      <c r="E140" s="54"/>
      <c r="F140" s="54"/>
      <c r="G140" s="54"/>
      <c r="H140" s="54"/>
      <c r="I140" s="54"/>
      <c r="J140" s="54"/>
      <c r="K140" s="54"/>
      <c r="L140" s="54"/>
      <c r="M140" s="66"/>
      <c r="N140" s="133"/>
    </row>
    <row r="141" spans="1:14" x14ac:dyDescent="0.2">
      <c r="A141" s="66" t="s">
        <v>146</v>
      </c>
      <c r="B141" s="54"/>
      <c r="C141" s="54"/>
      <c r="D141" s="54"/>
      <c r="E141" s="54"/>
      <c r="F141" s="54"/>
      <c r="G141" s="54"/>
      <c r="H141" s="54"/>
      <c r="I141" s="54"/>
      <c r="J141" s="54"/>
      <c r="K141" s="54"/>
      <c r="L141" s="54"/>
      <c r="M141" s="66"/>
      <c r="N141" s="133"/>
    </row>
    <row r="142" spans="1:14" x14ac:dyDescent="0.2">
      <c r="A142" s="66" t="s">
        <v>232</v>
      </c>
      <c r="B142" s="54"/>
      <c r="C142" s="54"/>
      <c r="D142" s="54"/>
      <c r="E142" s="54"/>
      <c r="F142" s="54"/>
      <c r="G142" s="54"/>
      <c r="H142" s="54"/>
      <c r="I142" s="54"/>
      <c r="J142" s="54"/>
      <c r="K142" s="54"/>
      <c r="L142" s="54"/>
      <c r="M142" s="66"/>
      <c r="N142" s="133"/>
    </row>
    <row r="143" spans="1:14" x14ac:dyDescent="0.2">
      <c r="A143" s="66" t="s">
        <v>147</v>
      </c>
      <c r="B143" s="54"/>
      <c r="C143" s="54"/>
      <c r="D143" s="54"/>
      <c r="E143" s="54"/>
      <c r="F143" s="54"/>
      <c r="G143" s="54"/>
      <c r="H143" s="54"/>
      <c r="I143" s="54"/>
      <c r="J143" s="54"/>
      <c r="K143" s="54"/>
      <c r="L143" s="54"/>
      <c r="M143" s="66"/>
      <c r="N143" s="133"/>
    </row>
    <row r="144" spans="1:14" x14ac:dyDescent="0.2">
      <c r="A144" s="66" t="s">
        <v>148</v>
      </c>
      <c r="B144" s="54"/>
      <c r="C144" s="54"/>
      <c r="D144" s="54"/>
      <c r="E144" s="54"/>
      <c r="F144" s="54"/>
      <c r="G144" s="54"/>
      <c r="H144" s="54"/>
      <c r="I144" s="54"/>
      <c r="J144" s="54"/>
      <c r="K144" s="54"/>
      <c r="L144" s="54"/>
      <c r="M144" s="66"/>
      <c r="N144" s="133"/>
    </row>
    <row r="145" spans="1:13" ht="12.75" customHeight="1" x14ac:dyDescent="0.2">
      <c r="A145" s="153" t="s">
        <v>149</v>
      </c>
      <c r="B145" s="153"/>
      <c r="C145" s="153"/>
      <c r="D145" s="153"/>
      <c r="E145" s="153"/>
      <c r="F145" s="153"/>
      <c r="G145" s="153"/>
      <c r="H145" s="153"/>
      <c r="I145" s="153"/>
      <c r="J145" s="153"/>
      <c r="K145" s="153"/>
      <c r="L145" s="153"/>
      <c r="M145" s="153"/>
    </row>
    <row r="146" spans="1:13" x14ac:dyDescent="0.2">
      <c r="A146" s="163"/>
      <c r="B146" s="164"/>
      <c r="C146" s="164"/>
      <c r="D146" s="164"/>
      <c r="E146" s="164"/>
      <c r="F146" s="164"/>
      <c r="G146" s="164"/>
      <c r="H146" s="164"/>
      <c r="I146" s="164"/>
      <c r="J146" s="164"/>
      <c r="K146" s="164"/>
      <c r="L146" s="164"/>
      <c r="M146" s="164"/>
    </row>
    <row r="147" spans="1:13" x14ac:dyDescent="0.2">
      <c r="A147" s="66" t="s">
        <v>150</v>
      </c>
      <c r="B147" s="54"/>
      <c r="C147" s="54"/>
      <c r="D147" s="54"/>
      <c r="E147" s="54"/>
      <c r="F147" s="54"/>
      <c r="G147" s="54"/>
      <c r="H147" s="54"/>
      <c r="I147" s="54"/>
      <c r="J147" s="54"/>
      <c r="K147" s="54"/>
      <c r="L147" s="54"/>
      <c r="M147" s="54"/>
    </row>
    <row r="148" spans="1:13" ht="14.25" customHeight="1" x14ac:dyDescent="0.2">
      <c r="A148" s="153" t="s">
        <v>151</v>
      </c>
      <c r="B148" s="153"/>
      <c r="C148" s="153"/>
      <c r="D148" s="153"/>
      <c r="E148" s="153"/>
      <c r="F148" s="153"/>
      <c r="G148" s="153"/>
      <c r="H148" s="153"/>
      <c r="I148" s="153"/>
      <c r="J148" s="153"/>
      <c r="K148" s="153"/>
      <c r="L148" s="153"/>
      <c r="M148" s="54"/>
    </row>
    <row r="149" spans="1:13" x14ac:dyDescent="0.2">
      <c r="A149" s="153"/>
      <c r="B149" s="153"/>
      <c r="C149" s="153"/>
      <c r="D149" s="153"/>
      <c r="E149" s="153"/>
      <c r="F149" s="153"/>
      <c r="G149" s="153"/>
      <c r="H149" s="153"/>
      <c r="I149" s="153"/>
      <c r="J149" s="153"/>
      <c r="K149" s="153"/>
      <c r="L149" s="153"/>
      <c r="M149" s="54"/>
    </row>
    <row r="150" spans="1:13" x14ac:dyDescent="0.2">
      <c r="A150" s="153"/>
      <c r="B150" s="153"/>
      <c r="C150" s="153"/>
      <c r="D150" s="153"/>
      <c r="E150" s="153"/>
      <c r="F150" s="153"/>
      <c r="G150" s="153"/>
      <c r="H150" s="153"/>
      <c r="I150" s="153"/>
      <c r="J150" s="153"/>
      <c r="K150" s="153"/>
      <c r="L150" s="153"/>
      <c r="M150" s="54"/>
    </row>
    <row r="151" spans="1:13" x14ac:dyDescent="0.2">
      <c r="A151" s="153"/>
      <c r="B151" s="153"/>
      <c r="C151" s="153"/>
      <c r="D151" s="153"/>
      <c r="E151" s="153"/>
      <c r="F151" s="153"/>
      <c r="G151" s="153"/>
      <c r="H151" s="153"/>
      <c r="I151" s="153"/>
      <c r="J151" s="153"/>
      <c r="K151" s="153"/>
      <c r="L151" s="153"/>
      <c r="M151" s="54"/>
    </row>
    <row r="152" spans="1:13" x14ac:dyDescent="0.2">
      <c r="A152" s="153"/>
      <c r="B152" s="153"/>
      <c r="C152" s="153"/>
      <c r="D152" s="153"/>
      <c r="E152" s="153"/>
      <c r="F152" s="153"/>
      <c r="G152" s="153"/>
      <c r="H152" s="153"/>
      <c r="I152" s="153"/>
      <c r="J152" s="153"/>
      <c r="K152" s="153"/>
      <c r="L152" s="153"/>
      <c r="M152" s="54"/>
    </row>
    <row r="153" spans="1:13" x14ac:dyDescent="0.2">
      <c r="A153" s="153"/>
      <c r="B153" s="153"/>
      <c r="C153" s="153"/>
      <c r="D153" s="153"/>
      <c r="E153" s="153"/>
      <c r="F153" s="153"/>
      <c r="G153" s="153"/>
      <c r="H153" s="153"/>
      <c r="I153" s="153"/>
      <c r="J153" s="153"/>
      <c r="K153" s="153"/>
      <c r="L153" s="153"/>
      <c r="M153" s="54"/>
    </row>
  </sheetData>
  <sheetProtection algorithmName="SHA-512" hashValue="uGP/3u1lR0amTm8hn/1ob2ncvy8FCMYTdFYVsNfWH+kq8IGZFpgBi40yhTmt96DWR8O+1XPtWzykpLIi52DGPQ==" saltValue="aLWSAL3BtkcMZFMJMwuk7g==" spinCount="100000" sheet="1" objects="1" scenarios="1"/>
  <mergeCells count="25">
    <mergeCell ref="A148:L153"/>
    <mergeCell ref="B2:D2"/>
    <mergeCell ref="A8:L8"/>
    <mergeCell ref="A39:L39"/>
    <mergeCell ref="A48:M48"/>
    <mergeCell ref="F41:G41"/>
    <mergeCell ref="H41:I41"/>
    <mergeCell ref="A23:L23"/>
    <mergeCell ref="A145:M145"/>
    <mergeCell ref="A146:M146"/>
    <mergeCell ref="A4:K4"/>
    <mergeCell ref="A131:M131"/>
    <mergeCell ref="N93:N94"/>
    <mergeCell ref="A35:L36"/>
    <mergeCell ref="H13:L13"/>
    <mergeCell ref="A50:L50"/>
    <mergeCell ref="A22:L22"/>
    <mergeCell ref="A34:M34"/>
    <mergeCell ref="N78:N79"/>
    <mergeCell ref="N60:N61"/>
    <mergeCell ref="N2:N3"/>
    <mergeCell ref="N25:N26"/>
    <mergeCell ref="N55:N56"/>
    <mergeCell ref="N42:N47"/>
    <mergeCell ref="N18:N19"/>
  </mergeCells>
  <phoneticPr fontId="6" type="noConversion"/>
  <dataValidations count="3">
    <dataValidation type="list" allowBlank="1" showInputMessage="1" showErrorMessage="1" sqref="F42:G42" xr:uid="{00000000-0002-0000-0000-000000000000}">
      <formula1>Strommix</formula1>
    </dataValidation>
    <dataValidation type="list" allowBlank="1" showInputMessage="1" showErrorMessage="1" sqref="H42:I42" xr:uid="{00000000-0002-0000-0000-000001000000}">
      <formula1>Pellet</formula1>
    </dataValidation>
    <dataValidation type="list" allowBlank="1" showInputMessage="1" showErrorMessage="1" sqref="L42" xr:uid="{00000000-0002-0000-0000-000002000000}">
      <formula1>Fernwärme</formula1>
    </dataValidation>
  </dataValidations>
  <hyperlinks>
    <hyperlink ref="A9" r:id="rId1" xr:uid="{00000000-0004-0000-0000-000000000000}"/>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56:E56 H56:K56"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M31"/>
  <sheetViews>
    <sheetView topLeftCell="D1" workbookViewId="0">
      <selection activeCell="M22" sqref="M22"/>
    </sheetView>
  </sheetViews>
  <sheetFormatPr baseColWidth="10" defaultColWidth="9.140625" defaultRowHeight="12.75" outlineLevelCol="1" x14ac:dyDescent="0.2"/>
  <cols>
    <col min="1" max="1" width="13.85546875" hidden="1" customWidth="1" outlineLevel="1"/>
    <col min="2" max="2" width="54.85546875" hidden="1" customWidth="1" outlineLevel="1"/>
    <col min="3" max="3" width="61.5703125" hidden="1" customWidth="1" outlineLevel="1"/>
    <col min="4" max="4" width="48" bestFit="1" customWidth="1" collapsed="1"/>
    <col min="5" max="5" width="11.42578125" customWidth="1"/>
    <col min="6" max="6" width="13.28515625" bestFit="1" customWidth="1"/>
    <col min="7" max="15" width="11.42578125" customWidth="1"/>
    <col min="16" max="16" width="22.28515625" bestFit="1" customWidth="1"/>
    <col min="17" max="18" width="11.42578125" customWidth="1"/>
    <col min="19" max="19" width="27.7109375" customWidth="1"/>
    <col min="20" max="256" width="11.42578125" customWidth="1"/>
  </cols>
  <sheetData>
    <row r="4" spans="1:13" x14ac:dyDescent="0.2">
      <c r="A4" s="11"/>
      <c r="B4" s="9"/>
      <c r="C4" s="9"/>
      <c r="D4" s="9"/>
      <c r="E4" s="10"/>
      <c r="F4" s="11" t="s">
        <v>152</v>
      </c>
      <c r="G4" s="9" t="s">
        <v>153</v>
      </c>
      <c r="H4" s="10" t="s">
        <v>154</v>
      </c>
      <c r="I4" s="11" t="s">
        <v>155</v>
      </c>
      <c r="J4" s="9" t="s">
        <v>156</v>
      </c>
      <c r="K4" s="10" t="s">
        <v>157</v>
      </c>
    </row>
    <row r="5" spans="1:13" x14ac:dyDescent="0.2">
      <c r="A5" s="21" t="s">
        <v>158</v>
      </c>
      <c r="B5" s="19" t="s">
        <v>159</v>
      </c>
      <c r="C5" s="19" t="s">
        <v>160</v>
      </c>
      <c r="D5" s="19" t="s">
        <v>161</v>
      </c>
      <c r="E5" s="20" t="s">
        <v>162</v>
      </c>
      <c r="F5" s="21" t="s">
        <v>163</v>
      </c>
      <c r="G5" s="19" t="s">
        <v>163</v>
      </c>
      <c r="H5" s="20" t="s">
        <v>163</v>
      </c>
      <c r="I5" s="21" t="s">
        <v>164</v>
      </c>
      <c r="J5" s="19" t="s">
        <v>164</v>
      </c>
      <c r="K5" s="20" t="s">
        <v>164</v>
      </c>
    </row>
    <row r="6" spans="1:13" x14ac:dyDescent="0.2">
      <c r="A6" s="4"/>
      <c r="B6" s="3"/>
      <c r="C6" s="3" t="s">
        <v>165</v>
      </c>
      <c r="D6" s="3" t="s">
        <v>166</v>
      </c>
      <c r="E6" s="12" t="s">
        <v>167</v>
      </c>
      <c r="F6" s="13">
        <v>65.953701158933001</v>
      </c>
      <c r="G6" s="14">
        <v>1.9528548410669999</v>
      </c>
      <c r="H6" s="15">
        <v>67.906555999999995</v>
      </c>
      <c r="I6" s="16">
        <v>8.8672496752573202E-2</v>
      </c>
      <c r="J6" s="17">
        <v>6.8256324742679993E-4</v>
      </c>
      <c r="K6" s="18">
        <v>8.935506E-2</v>
      </c>
      <c r="M6" s="25"/>
    </row>
    <row r="7" spans="1:13" x14ac:dyDescent="0.2">
      <c r="A7" s="4" t="s">
        <v>168</v>
      </c>
      <c r="B7" s="3" t="s">
        <v>169</v>
      </c>
      <c r="C7" s="3" t="s">
        <v>170</v>
      </c>
      <c r="D7" s="3" t="s">
        <v>171</v>
      </c>
      <c r="E7" s="12" t="s">
        <v>167</v>
      </c>
      <c r="F7" s="13">
        <v>41.309795154259994</v>
      </c>
      <c r="G7" s="14">
        <v>0.63381584574000005</v>
      </c>
      <c r="H7" s="15">
        <v>41.943610999999997</v>
      </c>
      <c r="I7" s="16">
        <v>6.8824756909064005E-2</v>
      </c>
      <c r="J7" s="17">
        <v>2.43090090936E-4</v>
      </c>
      <c r="K7" s="18">
        <v>6.9067847000000002E-2</v>
      </c>
    </row>
    <row r="8" spans="1:13" x14ac:dyDescent="0.2">
      <c r="A8" s="4" t="s">
        <v>172</v>
      </c>
      <c r="B8" s="3" t="s">
        <v>173</v>
      </c>
      <c r="C8" s="3" t="s">
        <v>174</v>
      </c>
      <c r="D8" s="3" t="s">
        <v>175</v>
      </c>
      <c r="E8" s="12" t="s">
        <v>167</v>
      </c>
      <c r="F8" s="13">
        <v>41.833071689000001</v>
      </c>
      <c r="G8" s="14">
        <v>2.8427323109999998</v>
      </c>
      <c r="H8" s="30">
        <v>44.675803999999999</v>
      </c>
      <c r="I8" s="16">
        <v>1.9334721442000002E-2</v>
      </c>
      <c r="J8" s="17">
        <v>1.7491355579999999E-3</v>
      </c>
      <c r="K8" s="28">
        <v>2.1083857000000001E-2</v>
      </c>
    </row>
    <row r="9" spans="1:13" x14ac:dyDescent="0.2">
      <c r="A9" s="4" t="s">
        <v>176</v>
      </c>
      <c r="B9" s="3" t="s">
        <v>177</v>
      </c>
      <c r="C9" s="3" t="s">
        <v>178</v>
      </c>
      <c r="D9" s="3" t="s">
        <v>179</v>
      </c>
      <c r="E9" s="12" t="s">
        <v>167</v>
      </c>
      <c r="F9" s="13">
        <v>30.027383818999997</v>
      </c>
      <c r="G9" s="14">
        <v>2.8203461810000001</v>
      </c>
      <c r="H9" s="30">
        <v>32.847729999999999</v>
      </c>
      <c r="I9" s="16">
        <v>1.33588220432E-2</v>
      </c>
      <c r="J9" s="17">
        <v>1.8982819568000001E-3</v>
      </c>
      <c r="K9" s="28">
        <v>1.5257104E-2</v>
      </c>
    </row>
    <row r="10" spans="1:13" x14ac:dyDescent="0.2">
      <c r="A10" s="4" t="s">
        <v>180</v>
      </c>
      <c r="B10" s="3" t="s">
        <v>181</v>
      </c>
      <c r="C10" s="3" t="s">
        <v>182</v>
      </c>
      <c r="D10" s="3" t="s">
        <v>183</v>
      </c>
      <c r="E10" s="12" t="s">
        <v>167</v>
      </c>
      <c r="F10" s="13">
        <v>27.432979353099999</v>
      </c>
      <c r="G10" s="14">
        <v>1.3825646468999999</v>
      </c>
      <c r="H10" s="15">
        <v>28.815543999999999</v>
      </c>
      <c r="I10" s="16">
        <v>1.2219239738500001E-2</v>
      </c>
      <c r="J10" s="17">
        <v>9.8775726149999995E-4</v>
      </c>
      <c r="K10" s="28">
        <v>1.3206997E-2</v>
      </c>
      <c r="M10" s="25"/>
    </row>
    <row r="11" spans="1:13" x14ac:dyDescent="0.2">
      <c r="A11" s="4" t="s">
        <v>184</v>
      </c>
      <c r="B11" s="3" t="s">
        <v>185</v>
      </c>
      <c r="C11" s="3" t="s">
        <v>186</v>
      </c>
      <c r="D11" s="3" t="s">
        <v>187</v>
      </c>
      <c r="E11" s="12" t="s">
        <v>167</v>
      </c>
      <c r="F11" s="13">
        <v>28.937908353099999</v>
      </c>
      <c r="G11" s="14">
        <v>1.3825646468999999</v>
      </c>
      <c r="H11" s="15">
        <v>30.320473</v>
      </c>
      <c r="I11" s="16">
        <v>1.2173840738500001E-2</v>
      </c>
      <c r="J11" s="17">
        <v>9.8775726149999995E-4</v>
      </c>
      <c r="K11" s="18">
        <v>1.3161598E-2</v>
      </c>
      <c r="M11" s="25"/>
    </row>
    <row r="12" spans="1:13" x14ac:dyDescent="0.2">
      <c r="A12" s="4"/>
      <c r="B12" s="3"/>
      <c r="C12" s="3" t="s">
        <v>188</v>
      </c>
      <c r="D12" s="3" t="s">
        <v>189</v>
      </c>
      <c r="E12" s="12" t="s">
        <v>167</v>
      </c>
      <c r="F12" s="13">
        <v>5.6100669532500014</v>
      </c>
      <c r="G12" s="14">
        <v>20.72881804675</v>
      </c>
      <c r="H12" s="15">
        <v>26.338885000000001</v>
      </c>
      <c r="I12" s="16">
        <v>1.6843608574999992E-3</v>
      </c>
      <c r="J12" s="17">
        <v>9.0850991425000006E-3</v>
      </c>
      <c r="K12" s="18">
        <v>1.076946E-2</v>
      </c>
    </row>
    <row r="13" spans="1:13" x14ac:dyDescent="0.2">
      <c r="A13" s="4" t="s">
        <v>190</v>
      </c>
      <c r="B13" s="3" t="s">
        <v>191</v>
      </c>
      <c r="C13" s="3" t="s">
        <v>192</v>
      </c>
      <c r="D13" s="3" t="s">
        <v>193</v>
      </c>
      <c r="E13" s="12" t="s">
        <v>167</v>
      </c>
      <c r="F13" s="13"/>
      <c r="G13" s="14"/>
      <c r="H13" s="15">
        <v>25.258025</v>
      </c>
      <c r="I13" s="16"/>
      <c r="J13" s="17"/>
      <c r="K13" s="18">
        <v>3.0063146999999998E-2</v>
      </c>
    </row>
    <row r="14" spans="1:13" x14ac:dyDescent="0.2">
      <c r="A14" s="4" t="s">
        <v>194</v>
      </c>
      <c r="B14" s="3" t="s">
        <v>195</v>
      </c>
      <c r="C14" s="3" t="s">
        <v>196</v>
      </c>
      <c r="D14" s="3" t="s">
        <v>197</v>
      </c>
      <c r="E14" s="12" t="s">
        <v>167</v>
      </c>
      <c r="F14" s="13"/>
      <c r="G14" s="14"/>
      <c r="H14" s="15">
        <v>2.2070409</v>
      </c>
      <c r="I14" s="16"/>
      <c r="J14" s="17"/>
      <c r="K14" s="18">
        <v>9.4142797000000002E-4</v>
      </c>
    </row>
    <row r="15" spans="1:13" x14ac:dyDescent="0.2">
      <c r="A15" s="4" t="s">
        <v>198</v>
      </c>
      <c r="B15" s="3" t="s">
        <v>199</v>
      </c>
      <c r="C15" s="3" t="s">
        <v>200</v>
      </c>
      <c r="D15" s="3" t="s">
        <v>201</v>
      </c>
      <c r="E15" s="12" t="s">
        <v>167</v>
      </c>
      <c r="F15" s="13"/>
      <c r="G15" s="14"/>
      <c r="H15" s="15">
        <v>28.686575999999999</v>
      </c>
      <c r="I15" s="16"/>
      <c r="J15" s="17"/>
      <c r="K15" s="18">
        <v>1.2097092E-2</v>
      </c>
    </row>
    <row r="16" spans="1:13" x14ac:dyDescent="0.2">
      <c r="A16" s="4" t="s">
        <v>202</v>
      </c>
      <c r="B16" s="3" t="s">
        <v>203</v>
      </c>
      <c r="C16" s="22" t="s">
        <v>204</v>
      </c>
      <c r="D16" s="3" t="s">
        <v>205</v>
      </c>
      <c r="E16" s="23" t="s">
        <v>167</v>
      </c>
      <c r="F16" s="4"/>
      <c r="G16" s="3"/>
      <c r="H16" s="15">
        <v>13.024449000000001</v>
      </c>
      <c r="I16" s="4"/>
      <c r="J16" s="3"/>
      <c r="K16" s="18">
        <v>3.9850896999999996E-3</v>
      </c>
    </row>
    <row r="17" spans="1:11" x14ac:dyDescent="0.2">
      <c r="A17" s="4" t="s">
        <v>206</v>
      </c>
      <c r="B17" s="3" t="s">
        <v>207</v>
      </c>
      <c r="C17" s="31" t="s">
        <v>208</v>
      </c>
      <c r="D17" s="3" t="s">
        <v>209</v>
      </c>
      <c r="E17" s="23" t="s">
        <v>167</v>
      </c>
      <c r="F17" s="4"/>
      <c r="G17" s="3"/>
      <c r="H17" s="15">
        <v>105.83618</v>
      </c>
      <c r="I17" s="4"/>
      <c r="J17" s="3"/>
      <c r="K17" s="18">
        <v>3.8484933999999998E-2</v>
      </c>
    </row>
    <row r="18" spans="1:11" x14ac:dyDescent="0.2">
      <c r="A18" s="21"/>
      <c r="B18" s="19" t="s">
        <v>210</v>
      </c>
      <c r="C18" s="19" t="s">
        <v>211</v>
      </c>
      <c r="D18" s="32" t="s">
        <v>212</v>
      </c>
      <c r="E18" s="24" t="s">
        <v>167</v>
      </c>
      <c r="F18" s="21"/>
      <c r="G18" s="19"/>
      <c r="H18" s="33">
        <v>122.43467</v>
      </c>
      <c r="I18" s="34"/>
      <c r="J18" s="35"/>
      <c r="K18" s="36">
        <v>4.0579196999999997E-2</v>
      </c>
    </row>
    <row r="19" spans="1:11" x14ac:dyDescent="0.2">
      <c r="A19" s="3"/>
      <c r="B19" s="3"/>
      <c r="C19" s="3"/>
      <c r="D19" s="3"/>
      <c r="E19" s="3"/>
      <c r="F19" s="3"/>
      <c r="G19" s="3"/>
      <c r="H19" s="22"/>
      <c r="I19" s="22"/>
      <c r="J19" s="22"/>
      <c r="K19" s="22"/>
    </row>
    <row r="20" spans="1:11" x14ac:dyDescent="0.2">
      <c r="A20" s="3"/>
      <c r="B20" s="3"/>
      <c r="C20" s="3"/>
      <c r="D20" s="3"/>
      <c r="E20" s="3"/>
      <c r="F20" s="3"/>
      <c r="G20" s="3"/>
      <c r="H20" s="3"/>
      <c r="I20" s="3"/>
      <c r="J20" s="3"/>
      <c r="K20" s="3"/>
    </row>
    <row r="22" spans="1:11" x14ac:dyDescent="0.2">
      <c r="D22" s="145" t="s">
        <v>213</v>
      </c>
    </row>
    <row r="23" spans="1:11" x14ac:dyDescent="0.2">
      <c r="D23" s="25" t="s">
        <v>205</v>
      </c>
      <c r="H23" s="29">
        <f>H$8-H$17*0.35712+H16*0.35712</f>
        <v>11.530878625279998</v>
      </c>
      <c r="K23" s="29">
        <f>K$8-K$17*0.35712+K16*0.35712</f>
        <v>8.7632726035840013E-3</v>
      </c>
    </row>
    <row r="24" spans="1:11" x14ac:dyDescent="0.2">
      <c r="D24" t="s">
        <v>209</v>
      </c>
      <c r="H24" s="27">
        <f>H$8-H$17*0.35712+H17*0.35712</f>
        <v>44.675803999999999</v>
      </c>
      <c r="K24" s="27">
        <f>K$8-K$17*0.35712+K17*0.35712</f>
        <v>2.1083857000000001E-2</v>
      </c>
    </row>
    <row r="25" spans="1:11" x14ac:dyDescent="0.2">
      <c r="D25" t="s">
        <v>212</v>
      </c>
      <c r="H25" s="27">
        <f>H$8-H$17*0.35712+H18*0.35712</f>
        <v>50.603456748799999</v>
      </c>
      <c r="K25" s="27">
        <f>K$8-K$17*0.35712+K18*0.35712</f>
        <v>2.1831760202560002E-2</v>
      </c>
    </row>
    <row r="26" spans="1:11" x14ac:dyDescent="0.2">
      <c r="H26" s="27"/>
      <c r="K26" s="27"/>
    </row>
    <row r="27" spans="1:11" x14ac:dyDescent="0.2">
      <c r="H27" s="27"/>
      <c r="K27" s="27"/>
    </row>
    <row r="28" spans="1:11" x14ac:dyDescent="0.2">
      <c r="D28" s="145" t="s">
        <v>214</v>
      </c>
    </row>
    <row r="29" spans="1:11" x14ac:dyDescent="0.2">
      <c r="D29" s="25" t="s">
        <v>205</v>
      </c>
      <c r="H29" s="29">
        <f>H$9-H$17*0.0712*3.6+H16*0.0712*3.6</f>
        <v>9.0582271100799989</v>
      </c>
      <c r="K29" s="29">
        <f>K$9-K$17*0.0712*3.6+K16*0.0712*3.6</f>
        <v>6.4141039090240019E-3</v>
      </c>
    </row>
    <row r="30" spans="1:11" x14ac:dyDescent="0.2">
      <c r="D30" t="s">
        <v>209</v>
      </c>
      <c r="H30" s="29">
        <f>H$9-H$17*0.0712*3.6+H17*0.0712*3.6</f>
        <v>32.847729999999999</v>
      </c>
      <c r="K30" s="29">
        <f>K$9-K$17*0.0712*3.6+K17*0.0712*3.6</f>
        <v>1.5257104E-2</v>
      </c>
    </row>
    <row r="31" spans="1:11" x14ac:dyDescent="0.2">
      <c r="D31" t="s">
        <v>212</v>
      </c>
      <c r="H31" s="29">
        <f>H$9-H$17*0.0712*3.6+H18*0.0712*3.6</f>
        <v>37.102254956799996</v>
      </c>
      <c r="K31" s="29">
        <f>K$9-K$17*0.0712*3.6+K18*0.0712*3.6</f>
        <v>1.5793905492160001E-2</v>
      </c>
    </row>
  </sheetData>
  <sheetProtection password="DCC1"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0"/>
  <sheetViews>
    <sheetView workbookViewId="0">
      <selection activeCell="B6" sqref="B6"/>
    </sheetView>
  </sheetViews>
  <sheetFormatPr baseColWidth="10" defaultColWidth="9.140625" defaultRowHeight="12.75" x14ac:dyDescent="0.2"/>
  <cols>
    <col min="1" max="1" width="19.85546875" customWidth="1"/>
    <col min="2" max="6" width="9.7109375" customWidth="1"/>
    <col min="7" max="7" width="11.5703125" bestFit="1" customWidth="1"/>
    <col min="8" max="10" width="9.7109375" customWidth="1"/>
    <col min="11" max="256" width="11.42578125" customWidth="1"/>
  </cols>
  <sheetData>
    <row r="2" spans="1:10" x14ac:dyDescent="0.2">
      <c r="A2" s="5"/>
      <c r="B2" s="5" t="s">
        <v>18</v>
      </c>
      <c r="C2" s="5" t="s">
        <v>19</v>
      </c>
      <c r="D2" s="5" t="s">
        <v>20</v>
      </c>
      <c r="E2" s="5" t="s">
        <v>21</v>
      </c>
      <c r="F2" s="6" t="s">
        <v>22</v>
      </c>
      <c r="G2" s="6" t="s">
        <v>23</v>
      </c>
      <c r="H2" s="6" t="s">
        <v>24</v>
      </c>
      <c r="I2" s="7" t="s">
        <v>25</v>
      </c>
      <c r="J2" s="37" t="s">
        <v>26</v>
      </c>
    </row>
    <row r="3" spans="1:10" x14ac:dyDescent="0.2">
      <c r="A3" s="5" t="s">
        <v>135</v>
      </c>
      <c r="B3" s="8">
        <f>'Kosten- &amp; Umweltbilanz'!D83</f>
        <v>1621.0981591323032</v>
      </c>
      <c r="C3" s="8">
        <f>'Kosten- &amp; Umweltbilanz'!E83</f>
        <v>1303.5248142641146</v>
      </c>
      <c r="D3" s="8">
        <f>'Kosten- &amp; Umweltbilanz'!F83</f>
        <v>2073.4319105927852</v>
      </c>
      <c r="E3" s="8">
        <f>'Kosten- &amp; Umweltbilanz'!G83</f>
        <v>1759.2757709282109</v>
      </c>
      <c r="F3" s="8">
        <f>'Kosten- &amp; Umweltbilanz'!H83</f>
        <v>1815.2925220313709</v>
      </c>
      <c r="G3" s="8">
        <f>'Kosten- &amp; Umweltbilanz'!I83</f>
        <v>2317.0029324962234</v>
      </c>
      <c r="H3" s="8">
        <f>'Kosten- &amp; Umweltbilanz'!J83</f>
        <v>2061.0779972318674</v>
      </c>
      <c r="I3" s="8">
        <f>'Kosten- &amp; Umweltbilanz'!K83</f>
        <v>1624.2877805220724</v>
      </c>
      <c r="J3" s="8">
        <f>'Kosten- &amp; Umweltbilanz'!L83</f>
        <v>0</v>
      </c>
    </row>
    <row r="4" spans="1:10" x14ac:dyDescent="0.2">
      <c r="A4" s="5" t="s">
        <v>104</v>
      </c>
      <c r="B4" s="8">
        <f>'Kosten- &amp; Umweltbilanz'!D111</f>
        <v>2448.4848484848485</v>
      </c>
      <c r="C4" s="8">
        <f>'Kosten- &amp; Umweltbilanz'!E111</f>
        <v>3600</v>
      </c>
      <c r="D4" s="8">
        <f>'Kosten- &amp; Umweltbilanz'!F111</f>
        <v>1692.2135294117647</v>
      </c>
      <c r="E4" s="8">
        <f>'Kosten- &amp; Umweltbilanz'!G111</f>
        <v>2175.9715384615383</v>
      </c>
      <c r="F4" s="8">
        <f>'Kosten- &amp; Umweltbilanz'!H111</f>
        <v>3079.268292682927</v>
      </c>
      <c r="G4" s="8">
        <f>'Kosten- &amp; Umweltbilanz'!I111</f>
        <v>2463.414634146342</v>
      </c>
      <c r="H4" s="8">
        <f>'Kosten- &amp; Umweltbilanz'!J111</f>
        <v>2102.4489795918366</v>
      </c>
      <c r="I4" s="8">
        <f>'Kosten- &amp; Umweltbilanz'!K111</f>
        <v>3077.9999999999995</v>
      </c>
      <c r="J4" s="8">
        <f>'Kosten- &amp; Umweltbilanz'!L111</f>
        <v>0</v>
      </c>
    </row>
    <row r="5" spans="1:10" x14ac:dyDescent="0.2">
      <c r="A5" s="5" t="s">
        <v>126</v>
      </c>
      <c r="B5" s="8">
        <f>'Kosten- &amp; Umweltbilanz'!D112</f>
        <v>768.969696969697</v>
      </c>
      <c r="C5" s="8">
        <f>'Kosten- &amp; Umweltbilanz'!E112</f>
        <v>230</v>
      </c>
      <c r="D5" s="8">
        <f>'Kosten- &amp; Umweltbilanz'!F112</f>
        <v>200</v>
      </c>
      <c r="E5" s="8">
        <f>'Kosten- &amp; Umweltbilanz'!G112</f>
        <v>250</v>
      </c>
      <c r="F5" s="8">
        <f>'Kosten- &amp; Umweltbilanz'!H112</f>
        <v>751.58536585365857</v>
      </c>
      <c r="G5" s="8">
        <f>'Kosten- &amp; Umweltbilanz'!I112</f>
        <v>739.26829268292681</v>
      </c>
      <c r="H5" s="8">
        <f>'Kosten- &amp; Umweltbilanz'!J112</f>
        <v>762.04897959183677</v>
      </c>
      <c r="I5" s="8">
        <f>'Kosten- &amp; Umweltbilanz'!K112</f>
        <v>367</v>
      </c>
      <c r="J5" s="8">
        <f>'Kosten- &amp; Umweltbilanz'!L112</f>
        <v>0</v>
      </c>
    </row>
    <row r="6" spans="1:10" x14ac:dyDescent="0.2">
      <c r="A6" s="5" t="s">
        <v>235</v>
      </c>
      <c r="B6" s="8">
        <f>'Kosten- &amp; Umweltbilanz'!D121</f>
        <v>652.27636363636361</v>
      </c>
      <c r="C6" s="8">
        <f>'Kosten- &amp; Umweltbilanz'!E121</f>
        <v>488.67839999999995</v>
      </c>
      <c r="D6" s="8">
        <f>'Kosten- &amp; Umweltbilanz'!F121</f>
        <v>0</v>
      </c>
      <c r="E6" s="8">
        <f>'Kosten- &amp; Umweltbilanz'!G121</f>
        <v>0</v>
      </c>
      <c r="F6" s="8">
        <f>'Kosten- &amp; Umweltbilanz'!H121</f>
        <v>0</v>
      </c>
      <c r="G6" s="8">
        <f>'Kosten- &amp; Umweltbilanz'!I121</f>
        <v>0</v>
      </c>
      <c r="H6" s="8">
        <f>'Kosten- &amp; Umweltbilanz'!J121</f>
        <v>560.0924081632653</v>
      </c>
      <c r="I6" s="8">
        <f>'Kosten- &amp; Umweltbilanz'!K121</f>
        <v>415.37663999999995</v>
      </c>
      <c r="J6" s="8">
        <f>'Kosten- &amp; Umweltbilanz'!L121</f>
        <v>0</v>
      </c>
    </row>
    <row r="7" spans="1:10" x14ac:dyDescent="0.2">
      <c r="A7" s="26" t="s">
        <v>215</v>
      </c>
      <c r="B7" s="8">
        <f>'Kosten- &amp; Umweltbilanz'!D123</f>
        <v>918.18181818181813</v>
      </c>
      <c r="C7" s="8">
        <f>'Kosten- &amp; Umweltbilanz'!E123</f>
        <v>606</v>
      </c>
      <c r="D7" s="8">
        <f>'Kosten- &amp; Umweltbilanz'!F123</f>
        <v>297.05882352941177</v>
      </c>
      <c r="E7" s="8">
        <f>'Kosten- &amp; Umweltbilanz'!G123</f>
        <v>388.46153846153845</v>
      </c>
      <c r="F7" s="8">
        <f>'Kosten- &amp; Umweltbilanz'!H123</f>
        <v>369.51219512195121</v>
      </c>
      <c r="G7" s="8">
        <f>'Kosten- &amp; Umweltbilanz'!I123</f>
        <v>295.60975609756105</v>
      </c>
      <c r="H7" s="8">
        <f>'Kosten- &amp; Umweltbilanz'!J123</f>
        <v>788.41836734693879</v>
      </c>
      <c r="I7" s="8">
        <f>'Kosten- &amp; Umweltbilanz'!K123</f>
        <v>515.1</v>
      </c>
      <c r="J7" s="8">
        <f>'Kosten- &amp; Umweltbilanz'!L123</f>
        <v>363.6</v>
      </c>
    </row>
    <row r="8" spans="1:10" x14ac:dyDescent="0.2">
      <c r="J8" s="2"/>
    </row>
    <row r="9" spans="1:10" x14ac:dyDescent="0.2">
      <c r="J9" s="1"/>
    </row>
    <row r="10" spans="1:10" x14ac:dyDescent="0.2">
      <c r="J10" s="2"/>
    </row>
    <row r="14" spans="1:10" x14ac:dyDescent="0.2">
      <c r="I14" s="121" t="s">
        <v>216</v>
      </c>
    </row>
    <row r="15" spans="1:10" x14ac:dyDescent="0.2">
      <c r="I15" s="121" t="s">
        <v>217</v>
      </c>
    </row>
    <row r="16" spans="1:10" x14ac:dyDescent="0.2">
      <c r="I16" s="121" t="s">
        <v>218</v>
      </c>
    </row>
    <row r="17" spans="2:6" x14ac:dyDescent="0.2">
      <c r="B17" s="25" t="s">
        <v>47</v>
      </c>
      <c r="C17" s="25" t="s">
        <v>22</v>
      </c>
      <c r="D17" s="25" t="s">
        <v>26</v>
      </c>
      <c r="F17" s="25" t="s">
        <v>219</v>
      </c>
    </row>
    <row r="18" spans="2:6" x14ac:dyDescent="0.2">
      <c r="B18" s="25" t="s">
        <v>51</v>
      </c>
      <c r="C18" s="25" t="s">
        <v>52</v>
      </c>
      <c r="D18" s="25" t="s">
        <v>220</v>
      </c>
    </row>
    <row r="19" spans="2:6" x14ac:dyDescent="0.2">
      <c r="B19" s="25" t="s">
        <v>221</v>
      </c>
      <c r="C19" s="25" t="s">
        <v>222</v>
      </c>
      <c r="D19" s="25" t="s">
        <v>53</v>
      </c>
    </row>
    <row r="20" spans="2:6" x14ac:dyDescent="0.2">
      <c r="B20" s="25"/>
      <c r="D20" s="25" t="s">
        <v>223</v>
      </c>
    </row>
  </sheetData>
  <sheetProtection algorithmName="SHA-512" hashValue="1hz3nA8PkVI+FidfIzSATpD1HXWTqXKsb4UDnV9r+JPMM+xXIRsI3tvyZb20pI6iDOMPUi5TSefdbLUlJ9YckA==" saltValue="9erlNXZliVVrp47eC+cS0Q==" spinCount="100000"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b81115e-e38c-467c-b2e3-c6b8d2e96873">
      <UserInfo>
        <DisplayName>Meili Christoph</DisplayName>
        <AccountId>35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536683806C9242AFB1372EB461774B" ma:contentTypeVersion="10" ma:contentTypeDescription="Create a new document." ma:contentTypeScope="" ma:versionID="929bf727e4851821d6a727112e31f311">
  <xsd:schema xmlns:xsd="http://www.w3.org/2001/XMLSchema" xmlns:xs="http://www.w3.org/2001/XMLSchema" xmlns:p="http://schemas.microsoft.com/office/2006/metadata/properties" xmlns:ns2="ecfef537-1e15-4e45-bf31-20fa3a1af5a8" xmlns:ns3="cb81115e-e38c-467c-b2e3-c6b8d2e96873" targetNamespace="http://schemas.microsoft.com/office/2006/metadata/properties" ma:root="true" ma:fieldsID="bd6aa1f9dd4dcaa4cca342fd03aef337" ns2:_="" ns3:_="">
    <xsd:import namespace="ecfef537-1e15-4e45-bf31-20fa3a1af5a8"/>
    <xsd:import namespace="cb81115e-e38c-467c-b2e3-c6b8d2e968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ef537-1e15-4e45-bf31-20fa3a1af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1115e-e38c-467c-b2e3-c6b8d2e9687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B5DCA-1974-4ADB-9C17-67B2736EF1B6}">
  <ds:schemaRefs>
    <ds:schemaRef ds:uri="http://schemas.microsoft.com/sharepoint/v3/contenttype/forms"/>
  </ds:schemaRefs>
</ds:datastoreItem>
</file>

<file path=customXml/itemProps2.xml><?xml version="1.0" encoding="utf-8"?>
<ds:datastoreItem xmlns:ds="http://schemas.openxmlformats.org/officeDocument/2006/customXml" ds:itemID="{CE1E09ED-1128-4499-995D-C735E1E58831}">
  <ds:schemaRefs>
    <ds:schemaRef ds:uri="http://schemas.openxmlformats.org/package/2006/metadata/core-properties"/>
    <ds:schemaRef ds:uri="http://schemas.microsoft.com/office/infopath/2007/PartnerControls"/>
    <ds:schemaRef ds:uri="http://purl.org/dc/terms/"/>
    <ds:schemaRef ds:uri="ecfef537-1e15-4e45-bf31-20fa3a1af5a8"/>
    <ds:schemaRef ds:uri="http://purl.org/dc/elements/1.1/"/>
    <ds:schemaRef ds:uri="http://schemas.microsoft.com/office/2006/documentManagement/types"/>
    <ds:schemaRef ds:uri="http://purl.org/dc/dcmitype/"/>
    <ds:schemaRef ds:uri="cb81115e-e38c-467c-b2e3-c6b8d2e9687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7CE7D23-3F72-4761-BD7A-9AF1AF114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fef537-1e15-4e45-bf31-20fa3a1af5a8"/>
    <ds:schemaRef ds:uri="cb81115e-e38c-467c-b2e3-c6b8d2e96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Kosten- &amp; Umweltbilanz</vt:lpstr>
      <vt:lpstr>Umweltkennwerte</vt:lpstr>
      <vt:lpstr>Grafik</vt:lpstr>
      <vt:lpstr>'Kosten- &amp; Umweltbilanz'!Druckbereich</vt:lpstr>
      <vt:lpstr>Fernwärme</vt:lpstr>
      <vt:lpstr>Pellet</vt:lpstr>
      <vt:lpstr>Strommix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2015-06-05T11:18:21Z</dcterms:created>
  <dcterms:modified xsi:type="dcterms:W3CDTF">2022-12-13T14:14:57Z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0x01010062536683806C9242AFB1372EB461774B</vt:lpwstr>
  </property>
  <property fmtid="{D5CDD505-2E9C-101B-9397-08002B2CF9AE}" pid="3" name="Order">
    <vt:r8>1067200</vt:r8>
  </property>
  <property fmtid="{D5CDD505-2E9C-101B-9397-08002B2CF9AE}" pid="4" name="AuthorIds_UIVersion_512">
    <vt:lpwstr>39</vt:lpwstr>
  </property>
</Properties>
</file>